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730" windowHeight="11700" tabRatio="637"/>
  </bookViews>
  <sheets>
    <sheet name="кондиц. и расх. мат-лы almacom" sheetId="5" r:id="rId1"/>
    <sheet name="Другое оборуд. almacom " sheetId="9" state="hidden" r:id="rId2"/>
    <sheet name="Другое оборуд. almacom нов" sheetId="17" state="hidden" r:id="rId3"/>
    <sheet name="разное, обогреватели  almacom" sheetId="22" r:id="rId4"/>
    <sheet name="Лист1" sheetId="10" state="hidden" r:id="rId5"/>
    <sheet name="промышленные" sheetId="16" state="hidden" r:id="rId6"/>
    <sheet name="уцененный товар" sheetId="23" state="hidden" r:id="rId7"/>
    <sheet name="Лист2" sheetId="24" r:id="rId8"/>
    <sheet name="Лист3" sheetId="25" r:id="rId9"/>
  </sheets>
  <definedNames>
    <definedName name="Print_Area" localSheetId="1">'Другое оборуд. almacom '!$A$1:$G$105</definedName>
    <definedName name="Print_Area" localSheetId="2">'Другое оборуд. almacom нов'!$A$1:$G$105</definedName>
    <definedName name="Print_Area" localSheetId="0">'кондиц. и расх. мат-лы almacom'!$A$1:$H$237</definedName>
    <definedName name="_xlnm.Print_Area" localSheetId="3">'разное, обогреватели  almacom'!$A$1:$F$126</definedName>
  </definedNames>
  <calcPr calcId="124519"/>
</workbook>
</file>

<file path=xl/calcChain.xml><?xml version="1.0" encoding="utf-8"?>
<calcChain xmlns="http://schemas.openxmlformats.org/spreadsheetml/2006/main">
  <c r="G137" i="5"/>
  <c r="G138"/>
  <c r="G139"/>
  <c r="G140"/>
  <c r="G141"/>
  <c r="G142"/>
  <c r="G143"/>
  <c r="G144"/>
  <c r="F99" l="1"/>
  <c r="F98"/>
  <c r="F97"/>
  <c r="F102"/>
  <c r="D79" i="22" l="1"/>
  <c r="D81"/>
  <c r="D82"/>
  <c r="D83"/>
  <c r="D84"/>
  <c r="D85"/>
  <c r="D78"/>
  <c r="D67"/>
  <c r="D66"/>
  <c r="F88" i="5" l="1"/>
  <c r="F67" l="1"/>
  <c r="F165" l="1"/>
  <c r="F166"/>
  <c r="F167"/>
  <c r="F168"/>
  <c r="F169"/>
  <c r="F137" l="1"/>
  <c r="F138"/>
  <c r="F139"/>
  <c r="F140"/>
  <c r="F141"/>
  <c r="F142"/>
  <c r="F143"/>
  <c r="F144"/>
  <c r="F47" l="1"/>
  <c r="F89"/>
  <c r="F90"/>
  <c r="D44" i="22" l="1"/>
  <c r="F163" i="5"/>
  <c r="F164"/>
  <c r="F162"/>
  <c r="F161"/>
  <c r="F128"/>
  <c r="F129"/>
  <c r="F130"/>
  <c r="F131"/>
  <c r="F132"/>
  <c r="F133"/>
  <c r="F134"/>
  <c r="F135"/>
  <c r="F136"/>
  <c r="F145"/>
  <c r="F146"/>
  <c r="F147"/>
  <c r="F148"/>
  <c r="F149"/>
  <c r="F150"/>
  <c r="F151"/>
  <c r="F152"/>
  <c r="F153"/>
  <c r="F154"/>
  <c r="F155"/>
  <c r="F156"/>
  <c r="F157"/>
  <c r="F158"/>
  <c r="F159"/>
  <c r="F127"/>
  <c r="F105"/>
  <c r="D93" i="22" l="1"/>
  <c r="D91"/>
  <c r="F178" i="5" l="1"/>
  <c r="F179"/>
  <c r="F180"/>
  <c r="F181"/>
  <c r="D36" i="22" l="1"/>
  <c r="D35"/>
  <c r="D47" l="1"/>
  <c r="D48"/>
  <c r="D49"/>
  <c r="D122" l="1"/>
  <c r="D123"/>
  <c r="D124"/>
  <c r="D125"/>
  <c r="D126"/>
  <c r="D121"/>
  <c r="D104" l="1"/>
  <c r="D7" l="1"/>
  <c r="D6"/>
  <c r="D5"/>
  <c r="D119"/>
  <c r="D117"/>
  <c r="D116"/>
  <c r="D115"/>
  <c r="D114"/>
  <c r="D109"/>
  <c r="D110"/>
  <c r="D111"/>
  <c r="D112"/>
  <c r="D102"/>
  <c r="D103"/>
  <c r="D105"/>
  <c r="D101"/>
  <c r="D98"/>
  <c r="D96"/>
  <c r="D95"/>
  <c r="D61"/>
  <c r="D62"/>
  <c r="D63"/>
  <c r="D64"/>
  <c r="D65"/>
  <c r="D68"/>
  <c r="D69"/>
  <c r="D70"/>
  <c r="D71"/>
  <c r="D72"/>
  <c r="D73"/>
  <c r="D74"/>
  <c r="D75"/>
  <c r="D76"/>
  <c r="D60"/>
  <c r="D28"/>
  <c r="D30"/>
  <c r="D31"/>
  <c r="D32"/>
  <c r="D33"/>
  <c r="D34"/>
  <c r="D37"/>
  <c r="D38"/>
  <c r="D39"/>
  <c r="D40"/>
  <c r="D41"/>
  <c r="D42"/>
  <c r="D43"/>
  <c r="D45"/>
  <c r="D46"/>
  <c r="D50"/>
  <c r="D51"/>
  <c r="D52"/>
  <c r="D53"/>
  <c r="D54"/>
  <c r="D55"/>
  <c r="D56"/>
  <c r="D57"/>
  <c r="D58"/>
  <c r="D25"/>
  <c r="D26"/>
  <c r="D27"/>
  <c r="D24"/>
  <c r="F43" i="5" l="1"/>
  <c r="F92" l="1"/>
  <c r="F93"/>
  <c r="F94"/>
  <c r="F95"/>
  <c r="F96"/>
  <c r="F100"/>
  <c r="F101"/>
  <c r="F83"/>
  <c r="F84"/>
  <c r="F85"/>
  <c r="F86"/>
  <c r="F87"/>
  <c r="F82"/>
  <c r="F76"/>
  <c r="F77"/>
  <c r="F78"/>
  <c r="F79"/>
  <c r="F80"/>
  <c r="F75"/>
  <c r="F68"/>
  <c r="F69"/>
  <c r="F70"/>
  <c r="F71"/>
  <c r="F72"/>
  <c r="F73"/>
  <c r="F66"/>
  <c r="F48"/>
  <c r="F46"/>
  <c r="F45"/>
  <c r="F42"/>
  <c r="F38"/>
  <c r="F39"/>
  <c r="F40"/>
  <c r="F37"/>
  <c r="F33"/>
  <c r="F34"/>
  <c r="F35"/>
  <c r="F32"/>
  <c r="F27"/>
  <c r="F28"/>
  <c r="F29"/>
  <c r="F30"/>
  <c r="F26"/>
  <c r="F15"/>
  <c r="F16"/>
  <c r="F17"/>
  <c r="F18"/>
  <c r="F14"/>
  <c r="F9"/>
  <c r="F10"/>
  <c r="F11"/>
  <c r="F12"/>
  <c r="F8"/>
  <c r="F21"/>
  <c r="F22"/>
  <c r="F23"/>
  <c r="F24"/>
  <c r="F20"/>
  <c r="F251" l="1"/>
  <c r="F252"/>
  <c r="F254"/>
  <c r="F256"/>
  <c r="F257"/>
  <c r="F258"/>
  <c r="F266"/>
  <c r="F271"/>
  <c r="F275"/>
  <c r="F276"/>
  <c r="F278"/>
  <c r="F282"/>
  <c r="F283"/>
  <c r="F287"/>
  <c r="F289"/>
  <c r="F290"/>
  <c r="F239" l="1"/>
  <c r="F243"/>
  <c r="F244"/>
  <c r="F245"/>
  <c r="F246"/>
  <c r="F248"/>
  <c r="F224" l="1"/>
  <c r="F225"/>
  <c r="F226"/>
  <c r="F103"/>
  <c r="F104"/>
  <c r="F106"/>
  <c r="F107"/>
  <c r="F52" l="1"/>
  <c r="F53"/>
  <c r="F54"/>
  <c r="F55" l="1"/>
  <c r="F56"/>
  <c r="F57"/>
  <c r="F58"/>
  <c r="F59"/>
  <c r="F51" l="1"/>
  <c r="F60"/>
  <c r="F61"/>
  <c r="F62"/>
  <c r="F63"/>
  <c r="F64"/>
  <c r="F50"/>
  <c r="F211" l="1"/>
  <c r="F210"/>
  <c r="F208"/>
  <c r="F206"/>
  <c r="F205"/>
  <c r="F112" l="1"/>
  <c r="D100" i="22" l="1"/>
  <c r="D17"/>
  <c r="D18"/>
  <c r="D19"/>
  <c r="D20"/>
  <c r="D21"/>
  <c r="D22"/>
  <c r="D16"/>
  <c r="D10"/>
  <c r="D12"/>
  <c r="D13"/>
  <c r="D14"/>
  <c r="D9"/>
  <c r="F219" i="5" l="1"/>
  <c r="F220"/>
  <c r="F221"/>
  <c r="F222"/>
  <c r="F218"/>
  <c r="F202"/>
  <c r="F203"/>
  <c r="F204"/>
  <c r="F207"/>
  <c r="F209"/>
  <c r="F212"/>
  <c r="F213"/>
  <c r="F214"/>
  <c r="F215"/>
  <c r="F216"/>
  <c r="F201"/>
  <c r="F197"/>
  <c r="F198"/>
  <c r="F199"/>
  <c r="F196"/>
  <c r="F184"/>
  <c r="F185"/>
  <c r="F186"/>
  <c r="F187"/>
  <c r="F188"/>
  <c r="F189"/>
  <c r="F190"/>
  <c r="F191"/>
  <c r="F192"/>
  <c r="F193"/>
  <c r="F194"/>
  <c r="F183"/>
  <c r="F176"/>
  <c r="F177"/>
  <c r="F175"/>
  <c r="F62" i="17" l="1"/>
  <c r="F61"/>
  <c r="F60"/>
  <c r="F59"/>
  <c r="F58"/>
  <c r="F57"/>
  <c r="F105" l="1"/>
  <c r="E105" s="1"/>
  <c r="F104"/>
  <c r="E104" s="1"/>
  <c r="F103"/>
  <c r="E103" s="1"/>
  <c r="F102"/>
  <c r="E102" s="1"/>
  <c r="F101"/>
  <c r="E101" s="1"/>
  <c r="F100"/>
  <c r="E100" s="1"/>
  <c r="F98"/>
  <c r="E98" s="1"/>
  <c r="F97"/>
  <c r="E97" s="1"/>
  <c r="F96"/>
  <c r="E96" s="1"/>
  <c r="F95"/>
  <c r="E95" s="1"/>
  <c r="F94"/>
  <c r="E94" s="1"/>
  <c r="F93"/>
  <c r="E93" s="1"/>
  <c r="F92"/>
  <c r="E92" s="1"/>
  <c r="F90"/>
  <c r="E90" s="1"/>
  <c r="F88"/>
  <c r="E88" s="1"/>
  <c r="F87"/>
  <c r="E87" s="1"/>
  <c r="F86"/>
  <c r="E86" s="1"/>
  <c r="F85"/>
  <c r="E85" s="1"/>
  <c r="F84"/>
  <c r="E84" s="1"/>
  <c r="F83"/>
  <c r="E83" s="1"/>
  <c r="F81"/>
  <c r="E81" s="1"/>
  <c r="F80"/>
  <c r="E80" s="1"/>
  <c r="F79"/>
  <c r="E79" s="1"/>
  <c r="F78"/>
  <c r="E78" s="1"/>
  <c r="F77"/>
  <c r="E77" s="1"/>
  <c r="F74"/>
  <c r="E74" s="1"/>
  <c r="F73"/>
  <c r="E73" s="1"/>
  <c r="F71"/>
  <c r="E71" s="1"/>
  <c r="F69"/>
  <c r="E69" s="1"/>
  <c r="F68"/>
  <c r="E68" s="1"/>
  <c r="F66"/>
  <c r="E66" s="1"/>
  <c r="F65"/>
  <c r="E65" s="1"/>
  <c r="F54"/>
  <c r="E54" s="1"/>
  <c r="F53"/>
  <c r="E53" s="1"/>
  <c r="F52"/>
  <c r="E52" s="1"/>
  <c r="F51"/>
  <c r="E51" s="1"/>
  <c r="F50"/>
  <c r="E50" s="1"/>
  <c r="F49"/>
  <c r="E49" s="1"/>
  <c r="F48"/>
  <c r="E48" s="1"/>
  <c r="F47"/>
  <c r="E47" s="1"/>
  <c r="F46"/>
  <c r="E46" s="1"/>
  <c r="F45"/>
  <c r="E45" s="1"/>
  <c r="F44"/>
  <c r="E44" s="1"/>
  <c r="F43"/>
  <c r="E43" s="1"/>
  <c r="F41"/>
  <c r="E41" s="1"/>
  <c r="F38"/>
  <c r="E38" s="1"/>
  <c r="F37"/>
  <c r="E37" s="1"/>
  <c r="F36"/>
  <c r="E36" s="1"/>
  <c r="F20"/>
  <c r="E20" s="1"/>
  <c r="F19"/>
  <c r="E19" s="1"/>
  <c r="F18"/>
  <c r="E18" s="1"/>
  <c r="F17"/>
  <c r="E17" s="1"/>
  <c r="F39"/>
  <c r="E39" s="1"/>
  <c r="F21"/>
  <c r="E21" s="1"/>
  <c r="F22"/>
  <c r="E22" s="1"/>
  <c r="F27"/>
  <c r="E27" s="1"/>
  <c r="F26"/>
  <c r="E26" s="1"/>
  <c r="F25"/>
  <c r="E25" s="1"/>
  <c r="F24"/>
  <c r="E24" s="1"/>
  <c r="F23"/>
  <c r="E23" s="1"/>
  <c r="F35"/>
  <c r="E35" s="1"/>
  <c r="F34"/>
  <c r="E34" s="1"/>
  <c r="F31"/>
  <c r="E31" s="1"/>
  <c r="F30"/>
  <c r="E30" s="1"/>
  <c r="F29"/>
  <c r="E29" s="1"/>
  <c r="F33"/>
  <c r="E33" s="1"/>
  <c r="F32"/>
  <c r="E32" s="1"/>
  <c r="F28"/>
  <c r="E28" s="1"/>
  <c r="F15"/>
  <c r="E15" s="1"/>
  <c r="F14"/>
  <c r="E14" s="1"/>
  <c r="F13"/>
  <c r="E13" s="1"/>
  <c r="F12"/>
  <c r="E12" s="1"/>
  <c r="F10"/>
  <c r="E10" s="1"/>
  <c r="F8"/>
  <c r="E8" s="1"/>
  <c r="F7"/>
  <c r="E7" s="1"/>
  <c r="I101"/>
  <c r="J101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2"/>
  <c r="J82" s="1"/>
  <c r="I81"/>
  <c r="J81" s="1"/>
  <c r="I76"/>
  <c r="J76" s="1"/>
  <c r="F76"/>
  <c r="E76" s="1"/>
  <c r="I75"/>
  <c r="J75" s="1"/>
  <c r="I71"/>
  <c r="J71" s="1"/>
  <c r="I70"/>
  <c r="J70" s="1"/>
  <c r="I66"/>
  <c r="J66" s="1"/>
  <c r="I65"/>
  <c r="J65" s="1"/>
  <c r="I64"/>
  <c r="J64" s="1"/>
  <c r="I63"/>
  <c r="J63" s="1"/>
  <c r="I62"/>
  <c r="J62" s="1"/>
  <c r="E62"/>
  <c r="I61"/>
  <c r="J61" s="1"/>
  <c r="E61"/>
  <c r="I60"/>
  <c r="J60" s="1"/>
  <c r="E60"/>
  <c r="I59"/>
  <c r="J59" s="1"/>
  <c r="E59"/>
  <c r="E58"/>
  <c r="I57"/>
  <c r="J57" s="1"/>
  <c r="E57"/>
  <c r="I56"/>
  <c r="J56" s="1"/>
  <c r="I55"/>
  <c r="J55" s="1"/>
  <c r="I54"/>
  <c r="J54" s="1"/>
  <c r="I53"/>
  <c r="J53" s="1"/>
  <c r="I52"/>
  <c r="J52" s="1"/>
  <c r="I51"/>
  <c r="J51" s="1"/>
  <c r="I50"/>
  <c r="J50" s="1"/>
  <c r="I47"/>
  <c r="J47" s="1"/>
  <c r="I46"/>
  <c r="J46" s="1"/>
  <c r="I44"/>
  <c r="J44" s="1"/>
  <c r="I43"/>
  <c r="J43" s="1"/>
  <c r="I42"/>
  <c r="J42" s="1"/>
  <c r="I41"/>
  <c r="J41" s="1"/>
  <c r="I40"/>
  <c r="J40" s="1"/>
  <c r="I39"/>
  <c r="J39" s="1"/>
  <c r="I38"/>
  <c r="J38" s="1"/>
  <c r="I36"/>
  <c r="J36" s="1"/>
  <c r="I29"/>
  <c r="J29" s="1"/>
  <c r="I23"/>
  <c r="J23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9"/>
  <c r="I7"/>
  <c r="J7" s="1"/>
  <c r="F7" i="9" l="1"/>
  <c r="F81" l="1"/>
  <c r="F80"/>
  <c r="F22" l="1"/>
  <c r="E22" s="1"/>
  <c r="F21"/>
  <c r="E21" s="1"/>
  <c r="F27"/>
  <c r="E27" s="1"/>
  <c r="F26"/>
  <c r="E26" s="1"/>
  <c r="F25"/>
  <c r="E25" s="1"/>
  <c r="F24"/>
  <c r="E24" s="1"/>
  <c r="F69" l="1"/>
  <c r="E69" s="1"/>
  <c r="F68"/>
  <c r="E68" s="1"/>
  <c r="F8"/>
  <c r="E8" s="1"/>
  <c r="F58" l="1"/>
  <c r="E58" s="1"/>
  <c r="F50" l="1"/>
  <c r="E50" s="1"/>
  <c r="F28" l="1"/>
  <c r="E28" s="1"/>
  <c r="F37"/>
  <c r="I7" l="1"/>
  <c r="J7" s="1"/>
  <c r="F95" l="1"/>
  <c r="F94"/>
  <c r="F35" l="1"/>
  <c r="F34"/>
  <c r="F73" l="1"/>
  <c r="E73" s="1"/>
  <c r="F79"/>
  <c r="E79" s="1"/>
  <c r="F78"/>
  <c r="E78" s="1"/>
  <c r="F77"/>
  <c r="E77" s="1"/>
  <c r="E81"/>
  <c r="E80"/>
  <c r="F90"/>
  <c r="F83"/>
  <c r="E83" s="1"/>
  <c r="F74"/>
  <c r="E74" s="1"/>
  <c r="E105"/>
  <c r="E102"/>
  <c r="E100"/>
  <c r="E103"/>
  <c r="E104"/>
  <c r="H11" i="16" l="1"/>
  <c r="E35" i="9" l="1"/>
  <c r="E34"/>
  <c r="F29"/>
  <c r="G11" i="16" l="1"/>
  <c r="H26"/>
  <c r="I26" s="1"/>
  <c r="H25"/>
  <c r="I25" s="1"/>
  <c r="H24"/>
  <c r="G24" s="1"/>
  <c r="H22"/>
  <c r="G22" s="1"/>
  <c r="H21"/>
  <c r="G21" s="1"/>
  <c r="H19"/>
  <c r="G19" s="1"/>
  <c r="H18"/>
  <c r="I18" s="1"/>
  <c r="H17"/>
  <c r="I17" s="1"/>
  <c r="H15"/>
  <c r="I15" s="1"/>
  <c r="H14"/>
  <c r="G14" s="1"/>
  <c r="H13"/>
  <c r="G13" s="1"/>
  <c r="I11"/>
  <c r="I12"/>
  <c r="I16"/>
  <c r="I20"/>
  <c r="I23"/>
  <c r="E37" i="9"/>
  <c r="F33"/>
  <c r="E33" s="1"/>
  <c r="F32"/>
  <c r="E32" s="1"/>
  <c r="F31"/>
  <c r="E31" s="1"/>
  <c r="F30"/>
  <c r="E30" s="1"/>
  <c r="F18"/>
  <c r="E18" s="1"/>
  <c r="I24" i="16" l="1"/>
  <c r="I22"/>
  <c r="I19"/>
  <c r="I13"/>
  <c r="I21"/>
  <c r="I14"/>
  <c r="G15"/>
  <c r="G17"/>
  <c r="G18"/>
  <c r="G26"/>
  <c r="G25"/>
  <c r="F49" i="9"/>
  <c r="E49" s="1"/>
  <c r="F48"/>
  <c r="E48" s="1"/>
  <c r="F47"/>
  <c r="E47" s="1"/>
  <c r="F45"/>
  <c r="E45" s="1"/>
  <c r="F44" l="1"/>
  <c r="F46" l="1"/>
  <c r="E46" s="1"/>
  <c r="F71" l="1"/>
  <c r="E71" s="1"/>
  <c r="F88" l="1"/>
  <c r="E88" s="1"/>
  <c r="F87"/>
  <c r="E87" s="1"/>
  <c r="F86"/>
  <c r="E86" s="1"/>
  <c r="F85"/>
  <c r="F84"/>
  <c r="F98" l="1"/>
  <c r="F97"/>
  <c r="F96"/>
  <c r="F93"/>
  <c r="F92"/>
  <c r="F76"/>
  <c r="F62"/>
  <c r="F61"/>
  <c r="F60"/>
  <c r="F59"/>
  <c r="F57"/>
  <c r="F54"/>
  <c r="E54" s="1"/>
  <c r="F53"/>
  <c r="E53" s="1"/>
  <c r="F52"/>
  <c r="E52" s="1"/>
  <c r="F51"/>
  <c r="E51" s="1"/>
  <c r="F43"/>
  <c r="F41"/>
  <c r="F39"/>
  <c r="F38"/>
  <c r="F36"/>
  <c r="F23"/>
  <c r="F20"/>
  <c r="F19"/>
  <c r="F17"/>
  <c r="F15"/>
  <c r="F14"/>
  <c r="F13"/>
  <c r="F12"/>
  <c r="F10"/>
  <c r="E101" l="1"/>
  <c r="E93"/>
  <c r="E94"/>
  <c r="E95"/>
  <c r="E96"/>
  <c r="E97"/>
  <c r="E98"/>
  <c r="E92"/>
  <c r="E90"/>
  <c r="E85"/>
  <c r="E84"/>
  <c r="E76"/>
  <c r="E66"/>
  <c r="E65"/>
  <c r="E59"/>
  <c r="E60"/>
  <c r="E61"/>
  <c r="E62"/>
  <c r="E57"/>
  <c r="E43"/>
  <c r="E44"/>
  <c r="E41"/>
  <c r="E17"/>
  <c r="E19"/>
  <c r="E20"/>
  <c r="E23"/>
  <c r="E29"/>
  <c r="E36"/>
  <c r="E38"/>
  <c r="E39"/>
  <c r="E13"/>
  <c r="E14"/>
  <c r="E15"/>
  <c r="E12"/>
  <c r="E10"/>
  <c r="E7"/>
  <c r="J9"/>
  <c r="I14"/>
  <c r="J14" s="1"/>
  <c r="I13"/>
  <c r="J13" s="1"/>
  <c r="I12"/>
  <c r="J12" s="1"/>
  <c r="I10"/>
  <c r="J10" s="1"/>
  <c r="I15"/>
  <c r="J15" s="1"/>
  <c r="I16"/>
  <c r="J16" s="1"/>
  <c r="I17"/>
  <c r="J17" s="1"/>
  <c r="I19"/>
  <c r="J19" s="1"/>
  <c r="I20"/>
  <c r="J20" s="1"/>
  <c r="I23"/>
  <c r="J23" s="1"/>
  <c r="I29"/>
  <c r="J29" s="1"/>
  <c r="I36"/>
  <c r="J36" s="1"/>
  <c r="I38"/>
  <c r="J38" s="1"/>
  <c r="I39"/>
  <c r="J39" s="1"/>
  <c r="I40"/>
  <c r="J40" s="1"/>
  <c r="I41"/>
  <c r="J41" s="1"/>
  <c r="I42"/>
  <c r="J42" s="1"/>
  <c r="I43"/>
  <c r="J43" s="1"/>
  <c r="I44"/>
  <c r="J44" s="1"/>
  <c r="I46"/>
  <c r="J46" s="1"/>
  <c r="I47"/>
  <c r="J47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70"/>
  <c r="J70" s="1"/>
  <c r="I71"/>
  <c r="J71" s="1"/>
  <c r="I75"/>
  <c r="J75" s="1"/>
  <c r="I76"/>
  <c r="J76" s="1"/>
  <c r="I81"/>
  <c r="J81" s="1"/>
  <c r="I82"/>
  <c r="J82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1"/>
  <c r="J101" s="1"/>
  <c r="I11"/>
  <c r="J11" s="1"/>
</calcChain>
</file>

<file path=xl/sharedStrings.xml><?xml version="1.0" encoding="utf-8"?>
<sst xmlns="http://schemas.openxmlformats.org/spreadsheetml/2006/main" count="1944" uniqueCount="874">
  <si>
    <t>Краткое описание</t>
  </si>
  <si>
    <t>шт.</t>
  </si>
  <si>
    <t xml:space="preserve">Наименование товара </t>
  </si>
  <si>
    <t>ОБОГРЕВАТЕЛИ</t>
  </si>
  <si>
    <t>ВОДОНАГРЕВАТЕЛИ</t>
  </si>
  <si>
    <t>Ед. изм.</t>
  </si>
  <si>
    <t xml:space="preserve">        ПРАЙС-ЛИСТ</t>
  </si>
  <si>
    <t>ВН-20-(Н)</t>
  </si>
  <si>
    <t xml:space="preserve">FP-18A-(H) </t>
  </si>
  <si>
    <t>AC-09J</t>
  </si>
  <si>
    <t>WD-SСО-1</t>
  </si>
  <si>
    <t xml:space="preserve">        Республика Казахстан, г. Алматы пр. Райымбека 221 Г, 1 этаж</t>
  </si>
  <si>
    <t xml:space="preserve">Anti-bacterial </t>
  </si>
  <si>
    <t>Фреон</t>
  </si>
  <si>
    <t>Объем: 13,6 кг.</t>
  </si>
  <si>
    <t xml:space="preserve">Труба медная 6,35*0,68*15М </t>
  </si>
  <si>
    <t>бухта</t>
  </si>
  <si>
    <t xml:space="preserve">Труба медная 9,52*0,68*15М </t>
  </si>
  <si>
    <t xml:space="preserve">Труба медная 12,70*0,68*15М </t>
  </si>
  <si>
    <t xml:space="preserve">Труба медная 15,88*0,68*15М </t>
  </si>
  <si>
    <t xml:space="preserve">Труба медная 19,05*0,68*15М </t>
  </si>
  <si>
    <t>Изоляция K-Flex</t>
  </si>
  <si>
    <t>2 м</t>
  </si>
  <si>
    <t>рулон</t>
  </si>
  <si>
    <t>Водонагреватели аlmacom, ariston</t>
  </si>
  <si>
    <t>Ariston PRO R 100 V</t>
  </si>
  <si>
    <t>баллон</t>
  </si>
  <si>
    <t>Медные трубы (стандарт ASTM B280, CU &gt;= 99,96%)</t>
  </si>
  <si>
    <t>1 бухта = 15 метров, упаковка: 15 бухт</t>
  </si>
  <si>
    <t>1 бухта = 15 метров, упаковка: 10 бухт</t>
  </si>
  <si>
    <t>1 бухта = 15 метров, упаковка: 8 бухт</t>
  </si>
  <si>
    <t>1 бухта = 15 метров, упаковка: 5 бухт</t>
  </si>
  <si>
    <t>клей K-Flex, упаковка: 20 шт</t>
  </si>
  <si>
    <t>клей K-Flex, упаковка: 6 шт</t>
  </si>
  <si>
    <t>лента, упаковка: 12 шт</t>
  </si>
  <si>
    <t xml:space="preserve">Almacom WH-100Y6C </t>
  </si>
  <si>
    <t xml:space="preserve">Almacom WH-50Y6C </t>
  </si>
  <si>
    <t xml:space="preserve">Almacom WH-25CB </t>
  </si>
  <si>
    <t xml:space="preserve">Almacom WH-10CC </t>
  </si>
  <si>
    <t>Ф6х12 - 2 м; коробка = 316 м</t>
  </si>
  <si>
    <t>Ф6х15 - 2 м; коробка = 266 м</t>
  </si>
  <si>
    <t>Ф6х18 - 2 м; коробка = 220 м</t>
  </si>
  <si>
    <t>Розничная цена, тенге.</t>
  </si>
  <si>
    <t>Дилерская цена, тенге.</t>
  </si>
  <si>
    <t>Super Lysozyme</t>
  </si>
  <si>
    <t>антибактериальный с серебром (Ag+)</t>
  </si>
  <si>
    <t xml:space="preserve">антибактериальный </t>
  </si>
  <si>
    <t>ACF-24HM</t>
  </si>
  <si>
    <t>ACF-36HM</t>
  </si>
  <si>
    <t>(6.35+12.7mm)* 5m</t>
  </si>
  <si>
    <t>(9.52mm+15.88)* 5m</t>
  </si>
  <si>
    <t>(9.52mm+15.88)* 4m</t>
  </si>
  <si>
    <t>6,35 mm (1/4")</t>
  </si>
  <si>
    <t>9,52 mm (3/8")</t>
  </si>
  <si>
    <t>12,7 mm (1/2")</t>
  </si>
  <si>
    <t>15,88 mm (5/8")</t>
  </si>
  <si>
    <t>19,05 mm (3/4")</t>
  </si>
  <si>
    <t>Кронштейны</t>
  </si>
  <si>
    <t>12x12x2900mm-0.6mm</t>
  </si>
  <si>
    <t>16x16x2900mm-0.65mm</t>
  </si>
  <si>
    <t>25x25x2900mm-0.8mm</t>
  </si>
  <si>
    <t>60x40x2900mm-1.2mm</t>
  </si>
  <si>
    <t>80x50x2900mm-1.25mm</t>
  </si>
  <si>
    <t>(6.35+12.7mm)* 4m</t>
  </si>
  <si>
    <t>короб</t>
  </si>
  <si>
    <t>комплект</t>
  </si>
  <si>
    <t>Длина = 2,9 м</t>
  </si>
  <si>
    <t>Длина = 20 м</t>
  </si>
  <si>
    <t>1 метр</t>
  </si>
  <si>
    <t>Медные гайки (Гайки с фланцем)</t>
  </si>
  <si>
    <t>Дренажный шланг (Сливной шланг)</t>
  </si>
  <si>
    <t>Кабельный канал (Листы из пластмасса)</t>
  </si>
  <si>
    <t xml:space="preserve">http: www.almacom.kz </t>
  </si>
  <si>
    <t xml:space="preserve">  e-mail:  info@almacom.kz</t>
  </si>
  <si>
    <t>IH-5000-(H)</t>
  </si>
  <si>
    <t>IH-9000-(H)</t>
  </si>
  <si>
    <t>AC-18J</t>
  </si>
  <si>
    <t>AC-20J</t>
  </si>
  <si>
    <t>ЭЛЕКТРОКОНВЕКТОРЫ  аlmacom</t>
  </si>
  <si>
    <t>ВОЗДУШНЫЕ ЗАВЕСЫ almacom</t>
  </si>
  <si>
    <t>ТЕПЛОВЕНТИЛЯТОРЫ almacom</t>
  </si>
  <si>
    <t xml:space="preserve">  e-mail: info@almacom.kz</t>
  </si>
  <si>
    <t>Объем: 11,3 кг.</t>
  </si>
  <si>
    <t xml:space="preserve">ТЕПЛОВЫЕ ПУШКИ almacom АКЦИЯ: 5+1     </t>
  </si>
  <si>
    <t>УЛЬТРАЗВУКОВОЙ   УВЛАЖНИТЕЛЬ ВОЗДУХА  almacom</t>
  </si>
  <si>
    <t>СУШИЛКИ ДЛЯ РУК  almacom</t>
  </si>
  <si>
    <t>ДИСПЕНСЕРЫ  ДЛЯ ВОДЫ almacom</t>
  </si>
  <si>
    <t>ДОЗАТОР ДЛЯ ЖИДКОГО  МЫЛА  almacom</t>
  </si>
  <si>
    <t xml:space="preserve">        SD-1-800ML                                          </t>
  </si>
  <si>
    <t>Тип: Настенный, Напольный. Мощность: 2 кВт
Белый, керамический тэн</t>
  </si>
  <si>
    <t>Тип: Настенный, Напольный. Мощность: 1,5 кВт
Белый, керамический тэн</t>
  </si>
  <si>
    <t>КАМИН аlmacom</t>
  </si>
  <si>
    <r>
      <t xml:space="preserve">Тип: </t>
    </r>
    <r>
      <rPr>
        <b/>
        <sz val="9"/>
        <rFont val="Arial"/>
        <family val="2"/>
        <charset val="204"/>
      </rPr>
      <t>НАСТОЛЬНЫЙ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</si>
  <si>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НАСТОЛЬНЫЙ</t>
    </r>
    <r>
      <rPr>
        <sz val="9"/>
        <rFont val="Arial"/>
        <family val="2"/>
        <charset val="1"/>
      </rPr>
      <t xml:space="preserve">
без охлаждения, только нагрев                                                                                                 </t>
    </r>
  </si>
  <si>
    <t>OWM-07RP</t>
  </si>
  <si>
    <t>OWM-09RP</t>
  </si>
  <si>
    <t>OWM-12RP</t>
  </si>
  <si>
    <t>OWM-18RP</t>
  </si>
  <si>
    <t>OWM-24RP</t>
  </si>
  <si>
    <t>AC-06J</t>
  </si>
  <si>
    <t>AC-08J</t>
  </si>
  <si>
    <t>AC-15J</t>
  </si>
  <si>
    <t>AC-12J</t>
  </si>
  <si>
    <t>МАСЛЯНЫЕ РАДИАТОРЫ аlmacom</t>
  </si>
  <si>
    <t>РАСХОДНЫЕ МАТЕРИАЛЫ</t>
  </si>
  <si>
    <t xml:space="preserve">              ПРАЙС-ЛИСТ</t>
  </si>
  <si>
    <t>Канальные кондиционеры  almacom (Гарантия: 36 месяцев)</t>
  </si>
  <si>
    <t>Кассетные кондиционеры almacom (Гарантия: 36  месяцев)</t>
  </si>
  <si>
    <t xml:space="preserve">Напольно-подпотолочные кондиционеры almacom (Гарантия: 36  месяцев) </t>
  </si>
  <si>
    <t>WD-SHE-3AF</t>
  </si>
  <si>
    <t>WD-SHE-2AF</t>
  </si>
  <si>
    <r>
      <t xml:space="preserve">Тип: </t>
    </r>
    <r>
      <rPr>
        <b/>
        <sz val="9"/>
        <rFont val="Arial"/>
        <family val="2"/>
        <charset val="204"/>
      </rPr>
      <t>НАПОЛЬНЫЙ, со шкафчиком</t>
    </r>
    <r>
      <rPr>
        <sz val="9"/>
        <rFont val="Arial"/>
        <family val="2"/>
        <charset val="1"/>
      </rPr>
      <t xml:space="preserve">
Компрессорное охлаждение и нагрев
Хладагент R134а                                     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</si>
  <si>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</si>
  <si>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Держатель  стакана д/дисп CD-1</t>
  </si>
  <si>
    <t>Белый, прозрачная колба.</t>
  </si>
  <si>
    <t>Республика Казахстан, г. Алматы пр. Райымбека 221 Г, 1 этаж</t>
  </si>
  <si>
    <t xml:space="preserve">http: www.almacom.kz    </t>
  </si>
  <si>
    <t>ПРАЙС-ЛИСТ</t>
  </si>
  <si>
    <t>мощн. Охл., кВт</t>
  </si>
  <si>
    <t>Прецизионные кондиционеры</t>
  </si>
  <si>
    <t>Шкафные c забором воздуха спереди и подачей вперед.</t>
  </si>
  <si>
    <t>температура+влажность</t>
  </si>
  <si>
    <t>комп.</t>
  </si>
  <si>
    <t>Шкафные  c верхним забором и нижней подачей воздуха.</t>
  </si>
  <si>
    <t>Руфтопы</t>
  </si>
  <si>
    <t>AR-10T1</t>
  </si>
  <si>
    <t xml:space="preserve">охлаждение+обогрев (до-21С) </t>
  </si>
  <si>
    <t>AR-15T1</t>
  </si>
  <si>
    <t>AR-20T1</t>
  </si>
  <si>
    <t>Напольные</t>
  </si>
  <si>
    <t>ACP-80N</t>
  </si>
  <si>
    <t>Сплит-система, без инсталяции</t>
  </si>
  <si>
    <t>ACP-100N</t>
  </si>
  <si>
    <t>Канальные</t>
  </si>
  <si>
    <t>ACD-80HMh</t>
  </si>
  <si>
    <t>Сплит-система; без инсталляции; R410А; ПДУ; выс. давления;</t>
  </si>
  <si>
    <t>ACD-100HMh</t>
  </si>
  <si>
    <t>ACD-120HM</t>
  </si>
  <si>
    <t>Сплит-система; без инсталляции; R410А; ПДУ; 150 Pa.</t>
  </si>
  <si>
    <t xml:space="preserve">тел/факс;297-41-85, 297-42-94, 297-42-93 тел. </t>
  </si>
  <si>
    <t xml:space="preserve">                                           тел/факс; 297-41-85, 297-42-94, 297-42-93</t>
  </si>
  <si>
    <t>WD-DНО-1JI</t>
  </si>
  <si>
    <t>WD-SHE-5JI</t>
  </si>
  <si>
    <t>WD-CFO-3JI</t>
  </si>
  <si>
    <t>WD-CFO-4JI</t>
  </si>
  <si>
    <t>API-13FB + APO-13</t>
  </si>
  <si>
    <t>API-20TU + APO-30</t>
  </si>
  <si>
    <t>API-25TU + APO-40</t>
  </si>
  <si>
    <t>API-30TU + APO-50</t>
  </si>
  <si>
    <t xml:space="preserve">Труба медная 19,05*0,8*15М </t>
  </si>
  <si>
    <r>
      <t xml:space="preserve">Тип: </t>
    </r>
    <r>
      <rPr>
        <b/>
        <sz val="9"/>
        <rFont val="Arial"/>
        <family val="2"/>
        <charset val="204"/>
      </rPr>
      <t xml:space="preserve">НАПОЛЬНЫЙ. Цвет: светло-коричневый.  Стекл.  панель.  Кнопка  блокировки  горячей  воды  </t>
    </r>
    <r>
      <rPr>
        <sz val="9"/>
        <rFont val="Arial"/>
        <family val="2"/>
        <charset val="1"/>
      </rPr>
      <t xml:space="preserve">                                                                                        Компрессорное охлаждение и нагрев
Хладагент R134a
Холодильная камера 0,16 м3                           </t>
    </r>
  </si>
  <si>
    <t>(6.35+12.7mm)*3m б/г</t>
  </si>
  <si>
    <t>(9.52+15.88mm)*3m б/г</t>
  </si>
  <si>
    <t>Без гаек</t>
  </si>
  <si>
    <t>Комплект инсталляции (Медные трубы с изоляцией)</t>
  </si>
  <si>
    <t>ХОЛОДИЛЬНИК almacom</t>
  </si>
  <si>
    <t>МОРОЗИЛЬНИКИ almacom</t>
  </si>
  <si>
    <t>AR-92</t>
  </si>
  <si>
    <t>AF1D-150</t>
  </si>
  <si>
    <t>AF1D-200</t>
  </si>
  <si>
    <t>AF2D-218</t>
  </si>
  <si>
    <t>AF2D-238</t>
  </si>
  <si>
    <t xml:space="preserve">• Класс энергопотребления А
• Низкотемпературное отделение
• Объем : 92 л
• Мощность лампы: 10 Вт
• Вес: 19  кг
• Потребляемая мощность: 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</si>
  <si>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150 л
• Мощность лампы: 10 Вт
• Вес: 34  кг
• Потребляемая мощность: 130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</si>
  <si>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200 л
• Мощность лампы: 10 Вт
• Вес: 38  кг
• Потребляемая мощность: 160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</si>
  <si>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218 л
• Мощность лампы: 10 Вт
• Вес: 38  кг
• Потребляемая мощность: 120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</si>
  <si>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238 л
• Мощность лампы: 10 Вт
• Вес: 43  кг
• Потребляемая мощность: 150 Вт                                          
• Питание: 220Вт~50 Гц                                                                                  </t>
  </si>
  <si>
    <t>Примечание</t>
  </si>
  <si>
    <r>
      <t xml:space="preserve">Тип: </t>
    </r>
    <r>
      <rPr>
        <b/>
        <sz val="11"/>
        <color theme="1"/>
        <rFont val="Calibri"/>
        <family val="2"/>
        <charset val="204"/>
        <scheme val="minor"/>
      </rPr>
      <t>НАПОЛЬНЫЙ. Цвет: серый. Стекл.  панель.</t>
    </r>
    <r>
      <rPr>
        <sz val="11"/>
        <color theme="1"/>
        <rFont val="Calibri"/>
        <family val="2"/>
        <charset val="204"/>
        <scheme val="minor"/>
      </rPr>
      <t xml:space="preserve">
Кнопка  блокировки  горячей  воды
Компрессорное охлаждение и нагрев
Хладагент R134a
Холодильная камера 0,16 м4</t>
    </r>
  </si>
  <si>
    <t>• Емкость: 800 мл
• Материал: Нержавеющая сталь 
• Закрывается на ключ</t>
  </si>
  <si>
    <r>
      <t xml:space="preserve">Тип: </t>
    </r>
    <r>
      <rPr>
        <b/>
        <sz val="9"/>
        <rFont val="Arial"/>
        <family val="2"/>
        <charset val="204"/>
      </rPr>
      <t>НАПОЛЬНЫЙ, со шкафчиком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</si>
  <si>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WD-DME-1AF</t>
  </si>
  <si>
    <t>OWM-07RN</t>
  </si>
  <si>
    <t>OWM-09RN</t>
  </si>
  <si>
    <t>Дренаж PVC-16ММ,20М/ROLL</t>
  </si>
  <si>
    <t>PC-18N</t>
  </si>
  <si>
    <t>PC-22N</t>
  </si>
  <si>
    <t>PC-27N</t>
  </si>
  <si>
    <t>Тип: Настенный, Напольный. Мощность: 2,5 кВт
Белый, керамический тэн</t>
  </si>
  <si>
    <t>КВАРЦЕВЫЙ  ОБОГРЕВАТЕЛЬ  almacom</t>
  </si>
  <si>
    <t>QH-22-5C</t>
  </si>
  <si>
    <t xml:space="preserve">Тип: напольный; Мощность 2,2 кВт </t>
  </si>
  <si>
    <t>PC-22</t>
  </si>
  <si>
    <r>
      <rPr>
        <sz val="8"/>
        <rFont val="Arial"/>
        <family val="2"/>
        <charset val="204"/>
      </rPr>
      <t>• Мощность: 1200W                                                                                                        • Мощность  двигателя: 250W
• Скорость вращения двиг.: 24 000 об / мин                                              
• Скорость воздушного потока: &gt; 50м/с                                                                                                                    • SENSOR   
• Дистанция: до 150 мм 
• Температура воздуха: 65+15°C</t>
    </r>
    <r>
      <rPr>
        <sz val="8"/>
        <color theme="1"/>
        <rFont val="Arial"/>
        <family val="2"/>
        <charset val="204"/>
      </rPr>
      <t xml:space="preserve">
• Размеры: 250ммx238ммx230мм                                           
• Материал: Пластик</t>
    </r>
  </si>
  <si>
    <t>• Мощность: 2300W,                                                                                                         • Мощность  двигателя: 250W 
• Скорость вращения двиг.: 25 000 об / мин
• Скорость воздушного потока: &gt;23 м/с,
 • SENSOR 
• Дистанция: 50--200 мм, 
• Температура воздуха: 65+15°C
• Размеры: 245мм*280мм*215мм
• Материал: Пластик</t>
  </si>
  <si>
    <t>WD-CFO-1JI</t>
  </si>
  <si>
    <r>
      <t xml:space="preserve">Тип: </t>
    </r>
    <r>
      <rPr>
        <b/>
        <sz val="9"/>
        <rFont val="Arial"/>
        <family val="2"/>
        <charset val="204"/>
      </rPr>
      <t>НАПОЛЬНЫЙ.  Цвет: красный.  Стеклянная  панель.
Кнопка  блокировки   горячей  воды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м3</t>
    </r>
  </si>
  <si>
    <t>• Мощность: 1800W                                                                                                                  • Мощность  двигателя: 60W 
• Скорость вращения двиг.: 2800 об / мин 
• Скорость воздушного потока: &gt; 11 м/с
• SENSOR
• Дистанция: 50--200мм 
• Температура воздуха: 65+15°C
• Размеры: 250мм*238мм*230мм
• Материал: Пластик</t>
  </si>
  <si>
    <t>• Мощность: 1200W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&gt;12 м/с
• SENSOR
• Дистанция: 50--200мм
• Температура воздуха: 65+15°C
• Размеры: 267мм*182мм*120мм
• Материал: Пластик</t>
  </si>
  <si>
    <t>WD-CFO-2JI</t>
  </si>
  <si>
    <t>WD-SHE-1JI</t>
  </si>
  <si>
    <t>WD-SHE-2JI</t>
  </si>
  <si>
    <t>WD-SHE-3JI</t>
  </si>
  <si>
    <t>WD-SHE-4JI</t>
  </si>
  <si>
    <t>WD-DME-2JI</t>
  </si>
  <si>
    <t>WD-SHE-6JI</t>
  </si>
  <si>
    <r>
      <t xml:space="preserve">Тип: </t>
    </r>
    <r>
      <rPr>
        <b/>
        <sz val="9"/>
        <rFont val="Arial"/>
        <family val="2"/>
        <charset val="204"/>
      </rPr>
      <t>НАПОЛЬНЫЙ.  Цвет: синий.  Стеклянная  панель.
Кнопка  блокировки   горячей  воды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</si>
  <si>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шкафчиком. Цвет: синий.  Стеклянная  панель.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</si>
  <si>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 xml:space="preserve">НАПОЛЬНЫЙ, со  шкафчиком.  Цвет: красный.  Стеклянная  панель. 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</si>
  <si>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со  шкафчиком. Цвет: светло-коричневый.  Стекл.  панель. 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</si>
  <si>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 Цвет: серый. Стекл.  панель.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</si>
  <si>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GH-20-(H)</t>
  </si>
  <si>
    <t xml:space="preserve">Тип: НАСТЕННЫЙ; Мощность: 2 кВт
Керамический нагревательный элемент, влагоустойчивый
</t>
  </si>
  <si>
    <t>Тип: НАСТЕННЫЙ; Мощность: 2 кВт
Керамический нагревательный элемент, ПДУ</t>
  </si>
  <si>
    <t>Тип: напольный промышленный; Мощность: 5 кВт</t>
  </si>
  <si>
    <t>Тип: напольный промышленный; Мощность: 9 кВт</t>
  </si>
  <si>
    <t>Мощность: 2 кВт; Объем: 100 литров</t>
  </si>
  <si>
    <t>Мощность: 1,5 кВт; Объем:50 литров</t>
  </si>
  <si>
    <t>Мощность: 1,5 кВт; Объем: 25 литров</t>
  </si>
  <si>
    <t>Мощность: 1,5 кВт; Объем: 10 литров</t>
  </si>
  <si>
    <t>Тип: НАПОЛЬНЫЙ; Эффект реального пламени
Напряжение: 220V; Потр. мощность: 1.8 кВт</t>
  </si>
  <si>
    <t>Мощность: 3 кВт (220); ПДУ; Длина: 60 см</t>
  </si>
  <si>
    <t>Мощность: 4 кВт (220); ПДУ; Длина: 80 см</t>
  </si>
  <si>
    <t>Мощность: 7,5 кВт (220/380); ПДУ; Длина: 90 см</t>
  </si>
  <si>
    <t>Мощность: 9,3 кВт (220/380); ПДУ; Длина: 120 см</t>
  </si>
  <si>
    <t>Мощность: 11,8кВт (220/380); ПДУ; Длина: 150 см</t>
  </si>
  <si>
    <t>Мощность: 14,8кВт (220/380); ПДУ; Длина: 180 см</t>
  </si>
  <si>
    <t>Мощность: 16,4кВт (220/380); ПДУ; Длина: 200 см</t>
  </si>
  <si>
    <t>Мощность: 2,0 кВт;9 секций;  БЕЗ  ВЕНТИЛЯТОРА;</t>
  </si>
  <si>
    <t>РС-18</t>
  </si>
  <si>
    <t xml:space="preserve">Тип: Настенный, Напольный; Мощность 2 кВт;                                                      Черная декорированная стеклянная  панель: </t>
  </si>
  <si>
    <t>Тип: НАПОЛЬНЫЙ; Мощность: 2 кВт
Керамический нагревательный элемент, ПДУ</t>
  </si>
  <si>
    <t xml:space="preserve"> FH-20AH</t>
  </si>
  <si>
    <t xml:space="preserve"> FH-20BH</t>
  </si>
  <si>
    <t>ГАЛОГЕННЫЙ  ОБОГРЕВАТЕЛЬ  almacom</t>
  </si>
  <si>
    <t>HH-12-1H</t>
  </si>
  <si>
    <t xml:space="preserve">Тип: напольный; Мощность 1,2 кВт </t>
  </si>
  <si>
    <t>• Мощность: 2300W                                                                                                                   • Мощность  двигателя: 250W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                                                                                                                                                                
• SENSOR                                                          
• Дистанция: 50--200 мм 
• Температура воздуха: 65+15°C                                                                                            • Размеры: 245мм*280мм*215мм                                         
• Материал: Нержавеющая  сталь</t>
  </si>
  <si>
    <t>• Мощность: 1800W                                                                                                      • • Мощность  двигателя: 60W
• Скорость вращения двиг.: 2800 об / мин                                              
• Скорость воздушного потока: &gt; 18м/с                                                                                                                    • SENSOR   
• Дистанция: до 150 мм 
• Температура воздуха: 65+15°C
• Размеры: 250ммx238ммx230мм                                           
• Материал: Нержавеющая  сталь</t>
  </si>
  <si>
    <t>• Мощность: 1500W,            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&gt;11 м/с
• SENSOR
• Дистанция: 50--200 мм, 
• Температура воздуха: 65+15°C
• Размеры: 240мм*240мм*230мм
• Материал: Цинковый сплав</t>
  </si>
  <si>
    <t>• Мощность: 1500W                                                                                                      • • Мощность  двигателя: 60W 
• Скорость вращения двиг.: 2 400 об / мин  
• Скорость воздушного потока: &gt;11 м/с
• SENSOR
• Дистанция: 50--200 мм
• Температура воздуха: 65+15°C
• Размеры: 265мм*200мм*155мм
• Материал: Пластик</t>
  </si>
  <si>
    <r>
      <t xml:space="preserve">Мощность: 1,8 кВт; </t>
    </r>
    <r>
      <rPr>
        <sz val="10"/>
        <rFont val="Arial"/>
        <family val="2"/>
        <charset val="1"/>
      </rPr>
      <t>Объем: 100 литров</t>
    </r>
  </si>
  <si>
    <t>• Мощность: 1200W,                                                                                                       • Мощность  двигателя: 550W
• Скорость вращения двиг.: 25 000 об / мин
• Скорость воздушного потока: &gt;30 м/с
• SENSOR 
• Дистанция: 50--200 мм, 
• Температура воздуха: 30-50°C
• Материал: Нержавеющая  сталь</t>
  </si>
  <si>
    <r>
      <rPr>
        <b/>
        <sz val="14"/>
        <rFont val="Arial"/>
        <family val="2"/>
        <charset val="204"/>
      </rPr>
      <t xml:space="preserve">PTC-WM-20C-(H) </t>
    </r>
    <r>
      <rPr>
        <sz val="14"/>
        <rFont val="Arial"/>
        <family val="2"/>
        <charset val="204"/>
      </rPr>
      <t xml:space="preserve">                                </t>
    </r>
    <r>
      <rPr>
        <sz val="10"/>
        <rFont val="Arial"/>
        <family val="2"/>
        <charset val="204"/>
      </rPr>
      <t>(в упаковке 4шт)</t>
    </r>
  </si>
  <si>
    <r>
      <rPr>
        <b/>
        <sz val="14"/>
        <rFont val="Arial"/>
        <family val="2"/>
        <charset val="204"/>
      </rPr>
      <t xml:space="preserve">PTC-WM-20D-(H) </t>
    </r>
    <r>
      <rPr>
        <sz val="14"/>
        <rFont val="Arial"/>
        <family val="2"/>
        <charset val="204"/>
      </rPr>
      <t xml:space="preserve">                                </t>
    </r>
    <r>
      <rPr>
        <sz val="10"/>
        <rFont val="Arial"/>
        <family val="2"/>
        <charset val="204"/>
      </rPr>
      <t>(в упаковке 4шт)</t>
    </r>
  </si>
  <si>
    <r>
      <rPr>
        <b/>
        <sz val="14"/>
        <rFont val="Arial"/>
        <family val="2"/>
        <charset val="204"/>
      </rPr>
      <t xml:space="preserve">PTC-20RH </t>
    </r>
    <r>
      <rPr>
        <sz val="14"/>
        <rFont val="Arial"/>
        <family val="2"/>
        <charset val="204"/>
      </rPr>
      <t xml:space="preserve">                                                   </t>
    </r>
    <r>
      <rPr>
        <sz val="10"/>
        <rFont val="Arial"/>
        <family val="2"/>
        <charset val="204"/>
      </rPr>
      <t>(в упаковке 4шт)</t>
    </r>
  </si>
  <si>
    <t xml:space="preserve">HD-7777                                                     </t>
  </si>
  <si>
    <t xml:space="preserve">HD-7777W                                                     </t>
  </si>
  <si>
    <r>
      <t xml:space="preserve">HD-798-W                                                                          </t>
    </r>
    <r>
      <rPr>
        <sz val="14"/>
        <rFont val="Arial"/>
        <family val="2"/>
        <charset val="204"/>
      </rPr>
      <t xml:space="preserve">  (в упаковке 4 шт)                       </t>
    </r>
    <r>
      <rPr>
        <b/>
        <sz val="14"/>
        <rFont val="Arial"/>
        <family val="2"/>
        <charset val="204"/>
      </rPr>
      <t xml:space="preserve">                          </t>
    </r>
  </si>
  <si>
    <r>
      <t xml:space="preserve">HD-798-ABS-G                                                              </t>
    </r>
    <r>
      <rPr>
        <sz val="14"/>
        <rFont val="Arial"/>
        <family val="2"/>
        <charset val="204"/>
      </rPr>
      <t xml:space="preserve">  (в упаковке 4 шт)     </t>
    </r>
    <r>
      <rPr>
        <b/>
        <sz val="14"/>
        <rFont val="Arial"/>
        <family val="2"/>
        <charset val="204"/>
      </rPr>
      <t xml:space="preserve">                                            </t>
    </r>
  </si>
  <si>
    <r>
      <rPr>
        <b/>
        <sz val="14"/>
        <rFont val="Arial"/>
        <family val="2"/>
        <charset val="204"/>
      </rPr>
      <t xml:space="preserve">HD-2008W                                            </t>
    </r>
    <r>
      <rPr>
        <sz val="14"/>
        <rFont val="Arial"/>
        <family val="2"/>
        <charset val="204"/>
      </rPr>
      <t xml:space="preserve"> (в упаковке 4 шт)</t>
    </r>
  </si>
  <si>
    <r>
      <rPr>
        <b/>
        <sz val="14"/>
        <rFont val="Arial"/>
        <family val="2"/>
        <charset val="204"/>
      </rPr>
      <t xml:space="preserve">HD-2008G                                           </t>
    </r>
    <r>
      <rPr>
        <sz val="14"/>
        <rFont val="Arial"/>
        <family val="2"/>
        <charset val="204"/>
      </rPr>
      <t xml:space="preserve"> (в упаковке 4 шт)</t>
    </r>
  </si>
  <si>
    <r>
      <rPr>
        <b/>
        <sz val="14"/>
        <rFont val="Arial"/>
        <family val="2"/>
        <charset val="204"/>
      </rPr>
      <t xml:space="preserve">HD-230S                                           </t>
    </r>
    <r>
      <rPr>
        <sz val="14"/>
        <rFont val="Arial"/>
        <family val="2"/>
        <charset val="204"/>
      </rPr>
      <t xml:space="preserve"> (в упаковке 8 шт)</t>
    </r>
  </si>
  <si>
    <r>
      <t xml:space="preserve">HD-298                                                      </t>
    </r>
    <r>
      <rPr>
        <sz val="14"/>
        <rFont val="Arial"/>
        <family val="2"/>
        <charset val="204"/>
      </rPr>
      <t xml:space="preserve">(в упаковке 4 шт)   </t>
    </r>
    <r>
      <rPr>
        <b/>
        <sz val="14"/>
        <rFont val="Arial"/>
        <family val="2"/>
        <charset val="204"/>
      </rPr>
      <t xml:space="preserve">                                                </t>
    </r>
  </si>
  <si>
    <r>
      <t xml:space="preserve">HD-298B                                                 </t>
    </r>
    <r>
      <rPr>
        <sz val="14"/>
        <rFont val="Arial"/>
        <family val="2"/>
        <charset val="204"/>
      </rPr>
      <t xml:space="preserve">(в упаковке 4 шт)    </t>
    </r>
    <r>
      <rPr>
        <b/>
        <sz val="14"/>
        <rFont val="Arial"/>
        <family val="2"/>
        <charset val="204"/>
      </rPr>
      <t xml:space="preserve">                                              </t>
    </r>
  </si>
  <si>
    <r>
      <rPr>
        <b/>
        <sz val="14"/>
        <rFont val="Arial"/>
        <family val="2"/>
        <charset val="204"/>
      </rPr>
      <t>HD-688</t>
    </r>
    <r>
      <rPr>
        <sz val="14"/>
        <rFont val="Arial"/>
        <family val="2"/>
        <charset val="204"/>
      </rPr>
      <t xml:space="preserve">                                                       (в упаковке 8 шт)</t>
    </r>
  </si>
  <si>
    <r>
      <rPr>
        <b/>
        <sz val="14"/>
        <rFont val="Arial"/>
        <family val="2"/>
        <charset val="204"/>
      </rPr>
      <t xml:space="preserve">HD-588B                                                     </t>
    </r>
    <r>
      <rPr>
        <sz val="14"/>
        <rFont val="Arial"/>
        <family val="2"/>
        <charset val="204"/>
      </rPr>
      <t>(в упаковке 8 шт)</t>
    </r>
  </si>
  <si>
    <r>
      <t xml:space="preserve"> </t>
    </r>
    <r>
      <rPr>
        <b/>
        <sz val="14"/>
        <rFont val="Arial"/>
        <family val="2"/>
        <charset val="204"/>
      </rPr>
      <t xml:space="preserve">HD-120                                               </t>
    </r>
    <r>
      <rPr>
        <sz val="14"/>
        <rFont val="Arial"/>
        <family val="2"/>
        <charset val="204"/>
      </rPr>
      <t xml:space="preserve"> (в упаковке 10 шт)</t>
    </r>
  </si>
  <si>
    <t>Тип: Вертикальный; Мощность: 2 кВт
Спиральный  нагревательный элемент</t>
  </si>
  <si>
    <t>Тип: Горизонтальный/Вертикальный; Мощность: 2 кВт
Спиральный  нагревательный элемент</t>
  </si>
  <si>
    <t>OR-15-7Н</t>
  </si>
  <si>
    <t>OR-25-11Н</t>
  </si>
  <si>
    <t>ORF-15-7Н</t>
  </si>
  <si>
    <t>ORF-20-9Н</t>
  </si>
  <si>
    <t>ORF-25-11Н</t>
  </si>
  <si>
    <t>OR-20-9Н</t>
  </si>
  <si>
    <t>Мощность: 2,5 кВт;11 секций;  БЕЗ  ВЕНТИЛЯТОРА;</t>
  </si>
  <si>
    <t>Мощность: 2,0 кВт;9 секций;  С ВЕНТИЛЯТОРОМ;</t>
  </si>
  <si>
    <t>HH-08-2H</t>
  </si>
  <si>
    <t xml:space="preserve">Тип: напольный; Мощность 0,8 кВт </t>
  </si>
  <si>
    <t xml:space="preserve">Almacom WH-80Y6C </t>
  </si>
  <si>
    <t>Мощность: 2 кВт; Объем: 80 литров</t>
  </si>
  <si>
    <t>Мощность: 1,5 кВт;7 секций;  C ВЕНТИЛЯТОРОМ;</t>
  </si>
  <si>
    <t>Мощность: 2,5 кВт;11 секций;  С ВЕНТИЛЯТОРОМ;</t>
  </si>
  <si>
    <t>КАРБОНОВЫЙ   ОБОГРЕВАТЕЛЬ  almacom</t>
  </si>
  <si>
    <t>CH-12-4C</t>
  </si>
  <si>
    <t>CH-10-3C</t>
  </si>
  <si>
    <t xml:space="preserve">Тип: напольный; Мощность 1,2 кВт;                                        Горизонтальное/Вертикальное положение </t>
  </si>
  <si>
    <t>AH-801С</t>
  </si>
  <si>
    <t>AH-807С</t>
  </si>
  <si>
    <t xml:space="preserve">Тип: напольный; Мощность 1 кВт; Вертикальное  положение </t>
  </si>
  <si>
    <t>нет</t>
  </si>
  <si>
    <t xml:space="preserve">• Площадь увлажнения: 35 м2
• Мощность увлажнения: 400 мл/ч
• Объем бака: 4 л
• Непрерывная работа в течение  9  часов
• Вес: 1,4  кг
• Потребляемая мощность: 38 Вт                                          
• Питание: 220Вт~50 Гц                                                                                  </t>
  </si>
  <si>
    <t xml:space="preserve">• Площадь увлажнения: 70 м2
• Мощность увлажнения: 700 мл/ч
• Объем бака: 7 л
• Вес: 2,8  кг
• Потребляемая мощность: 75 Вт                                          
• Питание: 220Вт~50 Гц                                                                                  </t>
  </si>
  <si>
    <t>WD-SСО-1AF</t>
  </si>
  <si>
    <t>WD-SСО-2AF</t>
  </si>
  <si>
    <t>WD-SСО-3AF</t>
  </si>
  <si>
    <t>WD-SСО-5AF</t>
  </si>
  <si>
    <r>
      <t xml:space="preserve">Тип: </t>
    </r>
    <r>
      <rPr>
        <b/>
        <sz val="9"/>
        <rFont val="Arial"/>
        <family val="2"/>
        <charset val="204"/>
      </rPr>
      <t>НАПОЛЬНЫЙ, c внутренней загрузкой бутыля</t>
    </r>
    <r>
      <rPr>
        <sz val="9"/>
        <rFont val="Arial"/>
        <family val="2"/>
        <charset val="1"/>
      </rPr>
      <t xml:space="preserve">
Компрессорное охлаждение и нагрев
Хладагент R134а                                                   </t>
    </r>
  </si>
  <si>
    <t>WD-CFO-2AF</t>
  </si>
  <si>
    <t>WD-CFO-1AF</t>
  </si>
  <si>
    <r>
      <t xml:space="preserve">Тип: </t>
    </r>
    <r>
      <rPr>
        <b/>
        <sz val="9"/>
        <rFont val="Arial"/>
        <family val="2"/>
        <charset val="204"/>
      </rPr>
      <t xml:space="preserve">НАПОЛЬНЫЙ со шкафчиком.  Цвет металлик 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м3</t>
    </r>
  </si>
  <si>
    <t>Тип: НАПОЛЬНЫЙ со шкафчиком
Компрессорное охлаждение и нагрев
Хладагент R134a
Холодильная камера 0,16 м3</t>
  </si>
  <si>
    <t>GAS R 410А</t>
  </si>
  <si>
    <t>GAS R 22</t>
  </si>
  <si>
    <t>Сварные</t>
  </si>
  <si>
    <t xml:space="preserve">Кронштейн (комп) Г450*415  </t>
  </si>
  <si>
    <t>нет в наличии</t>
  </si>
  <si>
    <t>Акция!!!</t>
  </si>
  <si>
    <t>(6.35+9,52mm)*3m б/г</t>
  </si>
  <si>
    <t>Мощность: 1,5 кВт;7 секций;  БЕЗ  ВЕНТИЛЯТОРА;</t>
  </si>
  <si>
    <t>ХОЛОДИЛЬНИК   ALMACOM</t>
  </si>
  <si>
    <t>МОРОЗИЛЬНИКИ   ALMACOM</t>
  </si>
  <si>
    <r>
      <t xml:space="preserve">HD-798-W                                                                          </t>
    </r>
    <r>
      <rPr>
        <sz val="10"/>
        <rFont val="Arial"/>
        <family val="2"/>
        <charset val="204"/>
      </rPr>
      <t xml:space="preserve"> 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</si>
  <si>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r>
      <rPr>
        <b/>
        <sz val="10"/>
        <rFont val="Arial"/>
        <family val="2"/>
        <charset val="204"/>
      </rPr>
      <t xml:space="preserve">HD-2008W                                            </t>
    </r>
    <r>
      <rPr>
        <sz val="10"/>
        <rFont val="Arial"/>
        <family val="2"/>
        <charset val="204"/>
      </rPr>
      <t xml:space="preserve"> (в упаковке 4 шт)</t>
    </r>
  </si>
  <si>
    <r>
      <rPr>
        <b/>
        <sz val="10"/>
        <rFont val="Arial"/>
        <family val="2"/>
        <charset val="204"/>
      </rPr>
      <t xml:space="preserve">HD-2008G                                           </t>
    </r>
    <r>
      <rPr>
        <sz val="10"/>
        <rFont val="Arial"/>
        <family val="2"/>
        <charset val="204"/>
      </rPr>
      <t xml:space="preserve"> (в упаковке 4 шт)</t>
    </r>
  </si>
  <si>
    <r>
      <rPr>
        <b/>
        <sz val="10"/>
        <rFont val="Arial"/>
        <family val="2"/>
        <charset val="204"/>
      </rPr>
      <t xml:space="preserve">HD-230S                                           </t>
    </r>
    <r>
      <rPr>
        <sz val="10"/>
        <rFont val="Arial"/>
        <family val="2"/>
        <charset val="204"/>
      </rPr>
      <t xml:space="preserve"> (в упаковке 8 шт)</t>
    </r>
  </si>
  <si>
    <r>
      <t xml:space="preserve">HD-298                                                      </t>
    </r>
    <r>
      <rPr>
        <sz val="10"/>
        <rFont val="Arial"/>
        <family val="2"/>
        <charset val="204"/>
      </rPr>
      <t xml:space="preserve">(в упаковке 4 шт)   </t>
    </r>
    <r>
      <rPr>
        <b/>
        <sz val="10"/>
        <rFont val="Arial"/>
        <family val="2"/>
        <charset val="204"/>
      </rPr>
      <t xml:space="preserve">                                                </t>
    </r>
  </si>
  <si>
    <t>• Мощность: 1500W, • Мощность  двигателя: 60W                                                                                                                       
• Скорость вращения двиг.: 2800 об / мин
• Скорость воздушного потока: &gt;11 м/с• SENSOR
• Дистанция: 50--200 мм, • Тем. воздуха: 65+15°C
• Размеры: 240мм*240мм*230мм
• Материал: Цинковый сплав</t>
  </si>
  <si>
    <r>
      <t xml:space="preserve"> </t>
    </r>
    <r>
      <rPr>
        <b/>
        <sz val="10"/>
        <rFont val="Arial"/>
        <family val="2"/>
        <charset val="204"/>
      </rPr>
      <t xml:space="preserve">HD-120                                               </t>
    </r>
    <r>
      <rPr>
        <sz val="10"/>
        <rFont val="Arial"/>
        <family val="2"/>
        <charset val="204"/>
      </rPr>
      <t xml:space="preserve"> (в упаковке 10 шт)</t>
    </r>
  </si>
  <si>
    <t>ACF-12HM</t>
  </si>
  <si>
    <t>ACD-100HМh</t>
  </si>
  <si>
    <t>ACD-120HМ</t>
  </si>
  <si>
    <t>Шкафные с верхним забором и нижней подачей воздуха</t>
  </si>
  <si>
    <t>Температура +влажность 30 кВт</t>
  </si>
  <si>
    <t>Температура +влажность 25 кВт</t>
  </si>
  <si>
    <t>Температура +влажность 20 кВт</t>
  </si>
  <si>
    <t>18-20 м2</t>
  </si>
  <si>
    <t>30-35 м2</t>
  </si>
  <si>
    <t>50-55 м2</t>
  </si>
  <si>
    <t xml:space="preserve"> 65-70 м2</t>
  </si>
  <si>
    <t>20-25 м2</t>
  </si>
  <si>
    <t>65-70 м2</t>
  </si>
  <si>
    <t xml:space="preserve"> 50-55 м2</t>
  </si>
  <si>
    <r>
      <t xml:space="preserve">(9.52mm+15.88)* </t>
    </r>
    <r>
      <rPr>
        <i/>
        <sz val="9"/>
        <rFont val="Arial"/>
        <family val="2"/>
        <charset val="204"/>
      </rPr>
      <t>3m</t>
    </r>
  </si>
  <si>
    <t>Прим.</t>
  </si>
  <si>
    <t>Дилер. цена, тенге</t>
  </si>
  <si>
    <t>Тип: НАСТЕННЫЙ; Мощность: 2 кВт, керамический нагревательный элемент, влагоустойчивый</t>
  </si>
  <si>
    <t>Фильтры для кондиционеров</t>
  </si>
  <si>
    <t xml:space="preserve">Тип: Настенный, Напольный;  2 кВт; Черная стеклянная  панель: </t>
  </si>
  <si>
    <t>Тип: Настенный, Напольный. 2 кВт. Белый, керамический тэн</t>
  </si>
  <si>
    <t>Тип: Настенный, Напольный. 1,5 кВт. Белый, керамический тэн</t>
  </si>
  <si>
    <t>Тип: Настенный, Напольный. 2,5 кВт. Белый, керамический тэн</t>
  </si>
  <si>
    <r>
      <rPr>
        <b/>
        <sz val="10"/>
        <rFont val="Arial"/>
        <family val="2"/>
        <charset val="204"/>
      </rPr>
      <t xml:space="preserve">PTC-WM-20C-(H) </t>
    </r>
    <r>
      <rPr>
        <sz val="10"/>
        <rFont val="Arial"/>
        <family val="2"/>
        <charset val="204"/>
      </rPr>
      <t xml:space="preserve">                                </t>
    </r>
    <r>
      <rPr>
        <sz val="8"/>
        <rFont val="Arial"/>
        <family val="2"/>
        <charset val="204"/>
      </rPr>
      <t>(в упаковке 4шт)</t>
    </r>
  </si>
  <si>
    <r>
      <rPr>
        <b/>
        <sz val="10"/>
        <rFont val="Arial"/>
        <family val="2"/>
        <charset val="204"/>
      </rPr>
      <t xml:space="preserve">PTC-WM-20D-(H) </t>
    </r>
    <r>
      <rPr>
        <sz val="10"/>
        <rFont val="Arial"/>
        <family val="2"/>
        <charset val="204"/>
      </rPr>
      <t xml:space="preserve">                                </t>
    </r>
    <r>
      <rPr>
        <sz val="8"/>
        <rFont val="Arial"/>
        <family val="2"/>
        <charset val="204"/>
      </rPr>
      <t>(в упаковке 4шт)</t>
    </r>
  </si>
  <si>
    <r>
      <rPr>
        <b/>
        <sz val="10"/>
        <rFont val="Arial"/>
        <family val="2"/>
        <charset val="204"/>
      </rPr>
      <t xml:space="preserve">PTC-20RH </t>
    </r>
    <r>
      <rPr>
        <sz val="10"/>
        <rFont val="Arial"/>
        <family val="2"/>
        <charset val="204"/>
      </rPr>
      <t xml:space="preserve">                                                   </t>
    </r>
    <r>
      <rPr>
        <sz val="8"/>
        <rFont val="Arial"/>
        <family val="2"/>
        <charset val="204"/>
      </rPr>
      <t>(в упаковке 4шт)</t>
    </r>
  </si>
  <si>
    <t>теплоизоляция для вентиляции, 06x1000 - 30, уп/30 м2</t>
  </si>
  <si>
    <t>теплоизоляция для вентиляции, 10x1000 - 20, уп/20 м2</t>
  </si>
  <si>
    <t>теплоизоляция для вентиляции, 13х1000 - 14, уп/14 м2</t>
  </si>
  <si>
    <t>• Мощность: 2300W; • Мощность  двигателя: 250W                                                                                                                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м/с; • SENSOR                                                                                                                                                       
• Дистанция: 50--200 мм; • Темп.воздуха: 65+15°C                                                                                                                                • Размеры: 245мм*280мм*215мм • Материал: Нерж. сталь</t>
  </si>
  <si>
    <t xml:space="preserve">• Мощность: 1800W • Мощность  двигателя: 60W                                                                                                     
• Скорость вращения двиг.: 2800 об / мин                                              
• Скорость воздушного потока: &gt; 18м/с   • SENSOR                                                                                                                  
• Дистанция: до 150 мм • Темп. воздуха: 65+15°C
• Размеры: 250ммx238ммx230мм• Материал: Нерж. сталь                                   </t>
  </si>
  <si>
    <t>• Мощность: 1200W • Мощность  двигателя: 60W                                                                                                           
• Скорость вращения двиг.: 2800 об / мин
• Скорость воздушного потока: &gt;12 м/с • SENSOR
• Дистанция: 50--200мм • Темп.воздуха: 65+15°C
• Размеры: 267мм*182мм*120мм • Материал: Пластик</t>
  </si>
  <si>
    <t>• Мощность: 1800W • Мощность  двигателя: 60W                                                                                                              
• Скорость вращения двиг.: 2800 об / мин 
• Скорость воздушного потока: &gt; 11 м/с • SENSOR
• Дистанция: 50--200мм • Темп.воздуха: 65+15°C
• Размеры: 250мм*238мм*230мм • Материал: Пластик</t>
  </si>
  <si>
    <t xml:space="preserve">НАСТОЛЬНЫЙ без охлаждения, только нагрев, белый                         </t>
  </si>
  <si>
    <t>НАПОЛЬНЫЙ, со шкафчиком вентиляционное охлаждение и нагрев, черный с серебристыми вставками</t>
  </si>
  <si>
    <t>Изоляция Misot-Flex</t>
  </si>
  <si>
    <t>трубчатая изоляция Ф6х6 - 2 м; коробка = 496 м</t>
  </si>
  <si>
    <t xml:space="preserve">Misot-Flex ST-TB 6*6 </t>
  </si>
  <si>
    <t>K-Flex Труба  6,35*2М</t>
  </si>
  <si>
    <t>K-Flex Труба 12,70*2М</t>
  </si>
  <si>
    <t xml:space="preserve">K-Flex Труба 15,88*2М </t>
  </si>
  <si>
    <t>K-Flex Труба 19,05*2М</t>
  </si>
  <si>
    <t>K-Flex Клей 0,8 It K 414</t>
  </si>
  <si>
    <t>K-Flex Клей 2,6 It K 414</t>
  </si>
  <si>
    <t>K-Flex Лента 003x050 -15 ST</t>
  </si>
  <si>
    <t>K-Flex AD METAL, 06x1000 - 30 AIR</t>
  </si>
  <si>
    <t>K-Flex AD METAL, 10x1000 - 20 AIR</t>
  </si>
  <si>
    <t>K-Flex AD METAL, 13x1000 - 14 AIR</t>
  </si>
  <si>
    <t>рулон 30 м2 обычная рулонная</t>
  </si>
  <si>
    <t>рулон 20 м2 обычная рулонная</t>
  </si>
  <si>
    <t>рулон 14 м2 обычная рулонная</t>
  </si>
  <si>
    <t>рулон 30 м2 рулонная самоклеющаяся</t>
  </si>
  <si>
    <t>рулон 20 м2 рулонная самоклеющаяся</t>
  </si>
  <si>
    <t>рулон 14 м2 рулонная самоклеющаяся</t>
  </si>
  <si>
    <t>рулон 30 м2  cамоклеющаяся с алюмин. покрытием</t>
  </si>
  <si>
    <t>рулон 20 м2 cамоклеющаяся с алюмин. покрытием</t>
  </si>
  <si>
    <t>рулон 20 м2 с алюмин. покрытием</t>
  </si>
  <si>
    <t>рулон 30 м2 с алюмин. покрытием</t>
  </si>
  <si>
    <t>Misot-Flex  Клей</t>
  </si>
  <si>
    <t>Misot-Flex  лента PVC</t>
  </si>
  <si>
    <t>для герметизации (черная) 48мм*25мм</t>
  </si>
  <si>
    <t>ACH-09I</t>
  </si>
  <si>
    <t>ACH-12I</t>
  </si>
  <si>
    <t>ACH-18I</t>
  </si>
  <si>
    <t>ACH-24I</t>
  </si>
  <si>
    <t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</t>
  </si>
  <si>
    <t>ACH-07AF</t>
  </si>
  <si>
    <t>ACH-09AF</t>
  </si>
  <si>
    <t>ACH-12AF</t>
  </si>
  <si>
    <t>ACH-18AF</t>
  </si>
  <si>
    <t>ACH-24AF</t>
  </si>
  <si>
    <t xml:space="preserve"> 90-100 м2 </t>
  </si>
  <si>
    <t xml:space="preserve"> 120-140 м2</t>
  </si>
  <si>
    <t>140-160 м2</t>
  </si>
  <si>
    <t xml:space="preserve"> 200-230 м2 </t>
  </si>
  <si>
    <t>270-290 м2</t>
  </si>
  <si>
    <t>90-100 м2</t>
  </si>
  <si>
    <t>120-140 м2</t>
  </si>
  <si>
    <t>160-180 м2</t>
  </si>
  <si>
    <t xml:space="preserve"> 320-350 м2</t>
  </si>
  <si>
    <t>30 - 35 м2</t>
  </si>
  <si>
    <t>50 - 55 м2</t>
  </si>
  <si>
    <t xml:space="preserve"> 30-35 м2</t>
  </si>
  <si>
    <t xml:space="preserve"> 160-180 м2</t>
  </si>
  <si>
    <t>Напольные кондиционеры almacom (Гарантия: 36 месяцев)</t>
  </si>
  <si>
    <t>ACC-12HM</t>
  </si>
  <si>
    <t>ACC-18HM</t>
  </si>
  <si>
    <t>ACC-24HM</t>
  </si>
  <si>
    <t>ACC-36HM</t>
  </si>
  <si>
    <t>ACC-48HM</t>
  </si>
  <si>
    <t>ACC-60HM</t>
  </si>
  <si>
    <t xml:space="preserve">• Мощность: 1200W • Мощность  двигателя: 250W                                                                                                       
• Скорость вращения двиг.: 24 000 об / мин                                              
• Скорость воздушного потока: &gt; 50м/с                                                                                                                    
• Дистанция: до 150 мм • Темп.воздуха: 65+15°C
• Размеры: 250ммx238ммx230мм  • Материал: Пластик  </t>
  </si>
  <si>
    <r>
      <t xml:space="preserve">НАПОЛЬНЫЙ, с холодильником, компрессорное охлаждение и нагрев,  </t>
    </r>
    <r>
      <rPr>
        <b/>
        <sz val="7"/>
        <rFont val="Arial"/>
        <family val="2"/>
        <charset val="204"/>
      </rPr>
      <t>красный</t>
    </r>
    <r>
      <rPr>
        <sz val="7"/>
        <rFont val="Arial"/>
        <family val="2"/>
        <charset val="204"/>
      </rPr>
      <t>,  стеклянная  панель, кнопка  блокировки горячей  воды, холодильная камера 0,16 м3</t>
    </r>
  </si>
  <si>
    <r>
      <t xml:space="preserve">НАПОЛЬНЫЙ, с холодильником, компрессорное охлаждение и нагрев,  </t>
    </r>
    <r>
      <rPr>
        <b/>
        <sz val="7"/>
        <rFont val="Arial"/>
        <family val="2"/>
        <charset val="204"/>
      </rPr>
      <t>синий</t>
    </r>
    <r>
      <rPr>
        <sz val="7"/>
        <rFont val="Arial"/>
        <family val="2"/>
        <charset val="204"/>
      </rPr>
      <t>,  стеклянная  панель, кнопка  блокировки горячей  воды, холодильная камера 0,16 м3</t>
    </r>
  </si>
  <si>
    <r>
      <t xml:space="preserve">НАПОЛЬНЫЙ, с холодильником, компрессорное охлаждение и нагрев, </t>
    </r>
    <r>
      <rPr>
        <b/>
        <sz val="7"/>
        <rFont val="Arial"/>
        <family val="2"/>
        <charset val="204"/>
      </rPr>
      <t>серебристый</t>
    </r>
    <r>
      <rPr>
        <sz val="7"/>
        <rFont val="Arial"/>
        <family val="2"/>
        <charset val="204"/>
      </rPr>
      <t>,  холодильная камера 0,16 м3</t>
    </r>
  </si>
  <si>
    <t>AHD-48HМh</t>
  </si>
  <si>
    <t>ACD-80HМh</t>
  </si>
  <si>
    <t>35кВт</t>
  </si>
  <si>
    <t>53кВт</t>
  </si>
  <si>
    <t xml:space="preserve">Руфтопы </t>
  </si>
  <si>
    <t xml:space="preserve">Misot-Flex ST-RL/ALU-SA 6мм </t>
  </si>
  <si>
    <t xml:space="preserve">Misot-Flex ST-RL/ALU-SA 9мм </t>
  </si>
  <si>
    <t xml:space="preserve">Misot-Flex ST-TB 6*10 </t>
  </si>
  <si>
    <t>трубчатая изоляция Ф6х10 - 2 м;  коробка = 364 м</t>
  </si>
  <si>
    <t>трубчатая изоляция Ф6х12 - 2 м;  коробка = 316 м</t>
  </si>
  <si>
    <t>трубчатая изоляция Ф6х15 - 2 м;  коробка = 266 м</t>
  </si>
  <si>
    <t>трубчатая изоляция Ф6х18 - 2 м;  коробка = 220 м</t>
  </si>
  <si>
    <t>трубчатая изоляция Ф6х22 - 2 м;  коробка = 180 м</t>
  </si>
  <si>
    <t>трубчатая изоляция Ф6х28 - 2 м;  коробка = 130 м</t>
  </si>
  <si>
    <t>трубчатая изоляция Ф9х15 - 2 м;  коробка = 192 м</t>
  </si>
  <si>
    <t>трубчатая изоляция Ф9х18 - 2 м;  коробка = 166 м</t>
  </si>
  <si>
    <t>трубчатая изоляция Ф9х22 - 2 м;  коробка = 136 м</t>
  </si>
  <si>
    <t>трубчатая изоляция Ф9х28 - 2 м;  коробка = 98 м</t>
  </si>
  <si>
    <t>трубчатая изоляция Ф9х35 - 2 м;  коробка = 76 м</t>
  </si>
  <si>
    <t>трубчатая изоляция Ф9х42 - 2 м;  коробка = 60 м</t>
  </si>
  <si>
    <t>трубчатая изоляция Ф9х54 - 2 м;  коробка = 46 м</t>
  </si>
  <si>
    <t>трубчатая изоляция Ф9х60 - 2 м;  коробка = 46 м</t>
  </si>
  <si>
    <t>трубчатая изоляция Ф9х64 - 2 м;  коробка = 46 м</t>
  </si>
  <si>
    <t>трубчатая изоляция Ф9х70 - 2 м;  коробка = 40 м</t>
  </si>
  <si>
    <t>трубчатая изоляция Ф13х15 - 2 м;  коробка = 136 м</t>
  </si>
  <si>
    <t>трубчатая изоляция Ф13х18 - 2 м;  коробка = 118 м</t>
  </si>
  <si>
    <t>трубчатая изоляция Ф13х22 - 2 м;  коробка = 98 м</t>
  </si>
  <si>
    <t>трубчатая изоляция Ф13х28 - 2 м;  коробка = 78 м</t>
  </si>
  <si>
    <t>трубчатая изоляция Ф13х35 - 2 м;  коробка = 58 м</t>
  </si>
  <si>
    <t>трубчатая изоляция Ф13х42 - 2 м;  коробка = 48 м</t>
  </si>
  <si>
    <t>трубчатая изоляция Ф13х60 - 2 м;  коробка = 32 м</t>
  </si>
  <si>
    <t>трубчатая изоляция Ф13х76 - 2 м;  коробка = 26 м</t>
  </si>
  <si>
    <t>трубчатая изоляция Ф13х89 - 2 м;  коробка = 24 м</t>
  </si>
  <si>
    <t>трубчатая изоляция Ф19х22 - 2 м;  коробка = 64 м</t>
  </si>
  <si>
    <t>трубчатая изоляция Ф19х28 - 2 м;  коробка = 48 м</t>
  </si>
  <si>
    <t>трубчатая изоляция Ф19х35 - 2 м;  коробка = 36 м</t>
  </si>
  <si>
    <t>трубчатая изоляция Ф19х42 - 2 м;  коробка = 32 м</t>
  </si>
  <si>
    <t>трубчатая изоляция Ф19х60 - 2 м;  коробка = 22 м</t>
  </si>
  <si>
    <t xml:space="preserve">Misot-Flex ST-RL 6мм </t>
  </si>
  <si>
    <t>Misot-Flex ST-RL 9мм</t>
  </si>
  <si>
    <t xml:space="preserve">Misot-Flex ST-RL 13мм </t>
  </si>
  <si>
    <t xml:space="preserve">Misot-Flex ST-RL/SA 6мм </t>
  </si>
  <si>
    <t>Misot-Flex ST-RL/SA 9мм</t>
  </si>
  <si>
    <t>Misot-Flex ST-RL/SA 13мм</t>
  </si>
  <si>
    <t xml:space="preserve">Misot-Flex ST-RL/ALU 6мм </t>
  </si>
  <si>
    <t>Misot-Flex ST-RL/ALU 9мм</t>
  </si>
  <si>
    <t>Misot-Flex ST-TB 19*60</t>
  </si>
  <si>
    <t>Misot-Flex ST-TB 19*42</t>
  </si>
  <si>
    <t>Misot-Flex ST-TB 19*35</t>
  </si>
  <si>
    <t>Misot-Flex ST-TB 19*28</t>
  </si>
  <si>
    <t>Misot-Flex ST-TB 19*22</t>
  </si>
  <si>
    <t>Misot-Flex ST-TB 13*89</t>
  </si>
  <si>
    <t>Misot-Flex ST-TB 13*76</t>
  </si>
  <si>
    <t>Misot-Flex ST-TB 13*60</t>
  </si>
  <si>
    <t>Misot-Flex ST-TB 13*42</t>
  </si>
  <si>
    <t>Misot-Flex ST-TB 13*35</t>
  </si>
  <si>
    <t>Misot-Flex ST-TB 13*28</t>
  </si>
  <si>
    <t>Misot-Flex ST-TB 13*22</t>
  </si>
  <si>
    <t>Misot-Flex ST-TB 13*18</t>
  </si>
  <si>
    <t>Misot-Flex ST-TB 13*15</t>
  </si>
  <si>
    <t>Misot-Flex ST-TB 9*70</t>
  </si>
  <si>
    <t>Misot-Flex ST-TB 9*64</t>
  </si>
  <si>
    <t>Misot-Flex ST-TB 9*60</t>
  </si>
  <si>
    <t>Misot-Flex ST-TB 9*54</t>
  </si>
  <si>
    <t>Misot-Flex ST-TB 9*42</t>
  </si>
  <si>
    <t>Misot-Flex ST-TB 9*35</t>
  </si>
  <si>
    <t>Misot-Flex ST-TB 9*28</t>
  </si>
  <si>
    <t xml:space="preserve">Misot-Flex ST-TB 9*22 </t>
  </si>
  <si>
    <t>Misot-Flex ST-TB 9*18</t>
  </si>
  <si>
    <t>Misot-Flex ST-TB 9*15</t>
  </si>
  <si>
    <t>Misot-Flex ST-TB 6*28</t>
  </si>
  <si>
    <t>Misot-Flex ST-TB 6*22</t>
  </si>
  <si>
    <t>Misot-Flex ST-TB 6*18</t>
  </si>
  <si>
    <t>Misot-Flex ST-TB 6*15</t>
  </si>
  <si>
    <t>Misot-Flex ST-TB 6*12</t>
  </si>
  <si>
    <t>лента самоклеющаяся 50мм*15м*3мм</t>
  </si>
  <si>
    <t>Misot-Flex</t>
  </si>
  <si>
    <t>ACF-18HM</t>
  </si>
  <si>
    <t>20-25 м3</t>
  </si>
  <si>
    <t>ACH-09AR</t>
  </si>
  <si>
    <t xml:space="preserve">Труба медная 15,88*0,8*15М </t>
  </si>
  <si>
    <t>Труба медная 22х1</t>
  </si>
  <si>
    <t>Труба медная 28х1</t>
  </si>
  <si>
    <t>Труба медная 35х1</t>
  </si>
  <si>
    <t>Медные фитинги</t>
  </si>
  <si>
    <t>1 палка = 5 метров</t>
  </si>
  <si>
    <t>палка</t>
  </si>
  <si>
    <t>поворот</t>
  </si>
  <si>
    <t>AМD-36HМ</t>
  </si>
  <si>
    <t>AMD-18HМ</t>
  </si>
  <si>
    <t>AMD-48HМ</t>
  </si>
  <si>
    <t>Компрессорно Кодненсаторные Блоки</t>
  </si>
  <si>
    <t>ACCU-22C1</t>
  </si>
  <si>
    <t>ACCU-28C1</t>
  </si>
  <si>
    <t>ACCU-35C1</t>
  </si>
  <si>
    <t>ACCU-22KIT</t>
  </si>
  <si>
    <t>ACCU-28KIT</t>
  </si>
  <si>
    <t>ACCU-35KIT</t>
  </si>
  <si>
    <t>Комплекты установки для ККБ</t>
  </si>
  <si>
    <t>22кВт</t>
  </si>
  <si>
    <t>28кВт</t>
  </si>
  <si>
    <t>ACF-48HM</t>
  </si>
  <si>
    <t>для модели ACCU-22C1</t>
  </si>
  <si>
    <t>для модели ACCU-28C1</t>
  </si>
  <si>
    <t>для модели ACCU-35C1</t>
  </si>
  <si>
    <t>Дренаж PE-16ММ,50М/ROLL</t>
  </si>
  <si>
    <t>Длина = 50 м</t>
  </si>
  <si>
    <t>АС-2</t>
  </si>
  <si>
    <t>ароматизатор, ионизатор, очиститель 20 м2</t>
  </si>
  <si>
    <t>АС-3</t>
  </si>
  <si>
    <t>ионизатор, очиститель 30 м2</t>
  </si>
  <si>
    <t>АС-4</t>
  </si>
  <si>
    <t>ионизатор, очиститель 40 м2</t>
  </si>
  <si>
    <t xml:space="preserve">Труба медная 7,94*0,68*15М </t>
  </si>
  <si>
    <t>Кронштейн (комп) Г550*450</t>
  </si>
  <si>
    <t xml:space="preserve">ACP-24LP </t>
  </si>
  <si>
    <t>AMD-24HМ</t>
  </si>
  <si>
    <t>AMD-60HM</t>
  </si>
  <si>
    <t>AHD-60HMh</t>
  </si>
  <si>
    <t>(6.35+9,52mm)*4m б/г</t>
  </si>
  <si>
    <t>(6.35+9,52mm)*5m б/г</t>
  </si>
  <si>
    <t>Очистители ВОЗДУХА  ALMACOM</t>
  </si>
  <si>
    <t xml:space="preserve">• Мощность: 2000W • Мощность  двигателя: 550W                                                                                                     
• Скорость вращения двиг.: 23000 об / мин                                              
• Скорость воздушного потока: &gt; 100м/с   • SENSOR                                                                                                                  
• Темп. воздуха: 65+15°C
• Размеры:290ммx685ммx220мм• Материал: Пластик ABS        </t>
  </si>
  <si>
    <t>Труба медная 42х1</t>
  </si>
  <si>
    <t>Дренаж EVA-20ММ,20М/ROLL</t>
  </si>
  <si>
    <r>
      <t xml:space="preserve">Сплит-система; без инсталляции; R410А; ПДУ; 
авторестарт; </t>
    </r>
    <r>
      <rPr>
        <b/>
        <sz val="8"/>
        <rFont val="Arial"/>
        <family val="2"/>
        <charset val="204"/>
      </rPr>
      <t>БЕЗ ИНСТАЛЛЯЦИИ</t>
    </r>
  </si>
  <si>
    <t>ограниченно</t>
  </si>
  <si>
    <t>ACF-60HM</t>
  </si>
  <si>
    <t>AR-50</t>
  </si>
  <si>
    <t>ART-142</t>
  </si>
  <si>
    <t>WD-DНО-1AF</t>
  </si>
  <si>
    <t>• Мощность: 1500W • Мощность  двигателя: 60W                                                                                                      
• Скорость вращения двиг.: 2 400 об / мин  
• Скорость воздушного потока: &gt;11 м/с • SENSOR
• Дистанция: 50--200 мм • Темп. воздуха: 65+15°C
• Размеры: 265мм*200мм*155мм • Материал: Пластик</t>
  </si>
  <si>
    <r>
      <t xml:space="preserve">HD-298 B                                                 </t>
    </r>
    <r>
      <rPr>
        <sz val="10"/>
        <rFont val="Arial"/>
        <family val="2"/>
        <charset val="204"/>
      </rPr>
      <t xml:space="preserve">(в упаковке 4 шт)    </t>
    </r>
    <r>
      <rPr>
        <b/>
        <sz val="10"/>
        <rFont val="Arial"/>
        <family val="2"/>
        <charset val="204"/>
      </rPr>
      <t xml:space="preserve">                                              </t>
    </r>
  </si>
  <si>
    <r>
      <rPr>
        <b/>
        <sz val="10"/>
        <rFont val="Arial"/>
        <family val="2"/>
        <charset val="204"/>
      </rPr>
      <t xml:space="preserve">HD-6666G                                          </t>
    </r>
    <r>
      <rPr>
        <sz val="10"/>
        <rFont val="Arial"/>
        <family val="2"/>
        <charset val="204"/>
      </rPr>
      <t xml:space="preserve"> (в упаковке 2 шт)</t>
    </r>
  </si>
  <si>
    <t>K-Flex Труба 9,52*2М</t>
  </si>
  <si>
    <t>Ф6х8 - 2 м; коробка = 432 м</t>
  </si>
  <si>
    <t>Ф6х10 - 2 м; коробка = 364 м</t>
  </si>
  <si>
    <t>AR-25T1</t>
  </si>
  <si>
    <t>87кВт</t>
  </si>
  <si>
    <t>(9,52+15,88mm)*5m б/г</t>
  </si>
  <si>
    <t>ACP-36A</t>
  </si>
  <si>
    <t xml:space="preserve"> Сплит-система; R410А; ПДУ;  авторестарт; блокировка панели управления; 5м медная инсталляция</t>
  </si>
  <si>
    <t xml:space="preserve"> Сплит-система; R410А; ПДУ;  авторестарт; блокировка панели управления; без инсталляции</t>
  </si>
  <si>
    <t>200-230м2</t>
  </si>
  <si>
    <t>Уцененный товар</t>
  </si>
  <si>
    <t>Almacom</t>
  </si>
  <si>
    <t>кол-во</t>
  </si>
  <si>
    <t>примечание</t>
  </si>
  <si>
    <t>цена</t>
  </si>
  <si>
    <t xml:space="preserve"> Внутренний блок</t>
  </si>
  <si>
    <t xml:space="preserve"> Внутренний блок (нарушена упаковка)</t>
  </si>
  <si>
    <t>almacom  АСН-18H1A</t>
  </si>
  <si>
    <t>LG</t>
  </si>
  <si>
    <t>Кондиционер LG G09LHC NBA8 (внут.блок) Китай, 2011</t>
  </si>
  <si>
    <t>Кондиционер LG S09LHQ NW0 (внут бл) -----, 2012</t>
  </si>
  <si>
    <t>Кондиционер LG S18LHQ NС81 (внут бл) -----, 2010</t>
  </si>
  <si>
    <t>Салон Климат</t>
  </si>
  <si>
    <t>внутренний блок</t>
  </si>
  <si>
    <t>Carrier 42QCR012713G</t>
  </si>
  <si>
    <t>110-120 м2</t>
  </si>
  <si>
    <t>• Мощность: 2300W; • Мощность  двигателя: 250W                                                                                                                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м/с; • SENSOR                                                                                                                                                       
• Дистанция: 50--200 мм; • Темп.воздуха: 65+15°C                                                                                                                                • Размеры: 245мм*280мм*215мм • Материал: Пластик</t>
  </si>
  <si>
    <t>ART-220</t>
  </si>
  <si>
    <t>ARB-252NF</t>
  </si>
  <si>
    <t>ARB-270</t>
  </si>
  <si>
    <t>AF1D-300</t>
  </si>
  <si>
    <t>AID-1</t>
  </si>
  <si>
    <t>AID-2</t>
  </si>
  <si>
    <t>AID-3</t>
  </si>
  <si>
    <t>Разветвители для VRF</t>
  </si>
  <si>
    <t>ACD-150HМh</t>
  </si>
  <si>
    <t>ACD-192HМh</t>
  </si>
  <si>
    <t xml:space="preserve"> 420-440 м2</t>
  </si>
  <si>
    <t>530-560м2</t>
  </si>
  <si>
    <t>GAS R 134А</t>
  </si>
  <si>
    <t>AF1D-418</t>
  </si>
  <si>
    <t>ACH-11IV</t>
  </si>
  <si>
    <t>ACH-13IV</t>
  </si>
  <si>
    <r>
      <t xml:space="preserve"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 </t>
    </r>
    <r>
      <rPr>
        <b/>
        <sz val="8"/>
        <rFont val="Arial"/>
        <family val="2"/>
        <charset val="204"/>
      </rPr>
      <t>Функция WiFi управления</t>
    </r>
  </si>
  <si>
    <t>35-40 м2</t>
  </si>
  <si>
    <t>НАСТОЛЬНЫЙ без охлаждения, только нагрев,</t>
  </si>
  <si>
    <t>ACP-48A</t>
  </si>
  <si>
    <t>14-16 м2</t>
  </si>
  <si>
    <t>18-22 м2</t>
  </si>
  <si>
    <t>25-32 м2</t>
  </si>
  <si>
    <t>45-50 м2</t>
  </si>
  <si>
    <t>60-65 м2</t>
  </si>
  <si>
    <r>
      <t xml:space="preserve">HD-798-G                                                                          </t>
    </r>
    <r>
      <rPr>
        <sz val="10"/>
        <rFont val="Arial"/>
        <family val="2"/>
        <charset val="204"/>
      </rPr>
      <t xml:space="preserve"> 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</si>
  <si>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r>
      <rPr>
        <b/>
        <sz val="10"/>
        <rFont val="Arial"/>
        <family val="2"/>
        <charset val="204"/>
      </rPr>
      <t>HD-588B</t>
    </r>
    <r>
      <rPr>
        <sz val="10"/>
        <rFont val="Arial"/>
        <family val="2"/>
        <charset val="204"/>
      </rPr>
      <t xml:space="preserve">                                                  (в упаковке 8 шт)</t>
    </r>
  </si>
  <si>
    <t>AFUD-208</t>
  </si>
  <si>
    <t>AFUD-98</t>
  </si>
  <si>
    <t>AM-12L</t>
  </si>
  <si>
    <t>25-30 м2</t>
  </si>
  <si>
    <t>AR-30T1</t>
  </si>
  <si>
    <t>98 кВт</t>
  </si>
  <si>
    <t xml:space="preserve"> Внутренний блок (Без упаковки и документации)</t>
  </si>
  <si>
    <t>(6.35+12,7mm)*4m б/г</t>
  </si>
  <si>
    <t>(9,52+15,88mm)*4m б/г</t>
  </si>
  <si>
    <t>(6.35+12,7mm)*5m б/г</t>
  </si>
  <si>
    <r>
      <t xml:space="preserve">(6,35mm+9,52mm)* </t>
    </r>
    <r>
      <rPr>
        <i/>
        <sz val="9"/>
        <rFont val="Arial"/>
        <family val="2"/>
        <charset val="204"/>
      </rPr>
      <t>3m</t>
    </r>
  </si>
  <si>
    <r>
      <t xml:space="preserve">(6,35mm+12,7mm)* </t>
    </r>
    <r>
      <rPr>
        <i/>
        <sz val="9"/>
        <rFont val="Arial"/>
        <family val="2"/>
        <charset val="204"/>
      </rPr>
      <t>3m</t>
    </r>
  </si>
  <si>
    <t xml:space="preserve">Тип: НАПОЛЬНЫЙ; Мощность: 0,8/1,6 кВт
Керамический нагревательный элемент, </t>
  </si>
  <si>
    <t>CD-1M</t>
  </si>
  <si>
    <t>CD-1S</t>
  </si>
  <si>
    <t>подстаканники на магните</t>
  </si>
  <si>
    <t>подстаканники на шурупах</t>
  </si>
  <si>
    <r>
      <t xml:space="preserve">НАПОЛЬНЫЙ, с холодильником, компрессорное охлаждение и нагрев, </t>
    </r>
    <r>
      <rPr>
        <sz val="7"/>
        <rFont val="Arial"/>
        <family val="2"/>
        <charset val="204"/>
      </rPr>
      <t xml:space="preserve">  холодильная камера 0,16 м4</t>
    </r>
    <r>
      <rPr>
        <sz val="11"/>
        <color theme="1"/>
        <rFont val="Calibri"/>
        <family val="2"/>
        <charset val="204"/>
        <scheme val="minor"/>
      </rPr>
      <t/>
    </r>
  </si>
  <si>
    <t>NEW</t>
  </si>
  <si>
    <r>
      <t xml:space="preserve">Сплит-система; Класс А;  авторестарт; ионизатор; самоочистка; антиплесень; золотое напыление на  теплообменниках; I-Feel; Turbo; IFavor; пульт с подсветкой; подставка под ПДУ; R410A; </t>
    </r>
    <r>
      <rPr>
        <b/>
        <sz val="8"/>
        <rFont val="Arial"/>
        <family val="2"/>
        <charset val="204"/>
      </rPr>
      <t>без инсталляции</t>
    </r>
    <r>
      <rPr>
        <sz val="8"/>
        <rFont val="Arial"/>
        <family val="2"/>
        <charset val="204"/>
      </rPr>
      <t xml:space="preserve">; </t>
    </r>
  </si>
  <si>
    <t xml:space="preserve">Сплит-система; Класс А;  авторестарт; ионизатор; самоочистка; антиплесень; золотое напыление на  теплообменниках; I-Feel; Turbo; IFavor; пульт с подсветкой; подставка под ПДУ; R410A; медная инсталляция; </t>
  </si>
  <si>
    <t>Кронштейн (комп) Г600*500</t>
  </si>
  <si>
    <t>ORS-11H</t>
  </si>
  <si>
    <t>ORS-13H</t>
  </si>
  <si>
    <t>ORF-09H</t>
  </si>
  <si>
    <t>ORF-11H</t>
  </si>
  <si>
    <t>Маслянный радиатор 11 секций (Slim): Мощность 2,5 кВт</t>
  </si>
  <si>
    <t>Маслянный радиатор 13 секций (Slim): Мощность 3 кВт</t>
  </si>
  <si>
    <t>Маслянный радиатор с вентилятором 9 секций (Fan): Мощность 2 кВт</t>
  </si>
  <si>
    <t xml:space="preserve">Сплит-система;  Класс А;  авторестарт; ионизатор; самоочистка; антиплесень; золотое напыление на  теплообменниках; глубокий сон; I-Feel; Turbo; комбинированный  фильтр; подставка под ПДУ; R410A; медная инсталляция; </t>
  </si>
  <si>
    <r>
      <t xml:space="preserve">PTC-16C                   </t>
    </r>
    <r>
      <rPr>
        <sz val="8"/>
        <rFont val="Arial"/>
        <family val="2"/>
        <charset val="204"/>
      </rPr>
      <t>(в упаковке 6шт)</t>
    </r>
  </si>
  <si>
    <r>
      <t xml:space="preserve"> FH-20AH                   </t>
    </r>
    <r>
      <rPr>
        <sz val="8"/>
        <rFont val="Arial"/>
        <family val="2"/>
        <charset val="204"/>
      </rPr>
      <t>(в упаковке 8 шт)</t>
    </r>
  </si>
  <si>
    <r>
      <t xml:space="preserve"> FH-20BH                  </t>
    </r>
    <r>
      <rPr>
        <sz val="8"/>
        <rFont val="Arial"/>
        <family val="2"/>
        <charset val="204"/>
      </rPr>
      <t>(в упаковке 8 шт)</t>
    </r>
  </si>
  <si>
    <t>OWM-07RQ</t>
  </si>
  <si>
    <t>OWM-09RQ</t>
  </si>
  <si>
    <t>OWM-12RQ</t>
  </si>
  <si>
    <t>OWM-18RQ</t>
  </si>
  <si>
    <t>OWM-24RQ</t>
  </si>
  <si>
    <t>OWM-12RN</t>
  </si>
  <si>
    <t>OWM-18RN</t>
  </si>
  <si>
    <t>OWM-24RN</t>
  </si>
  <si>
    <t>ACH-07D</t>
  </si>
  <si>
    <t>ACH-09D</t>
  </si>
  <si>
    <t>ACH-12D</t>
  </si>
  <si>
    <t>ACH-18D</t>
  </si>
  <si>
    <t>ACH-24D</t>
  </si>
  <si>
    <t>ACH-07AS</t>
  </si>
  <si>
    <t>ACH-09AS</t>
  </si>
  <si>
    <t>ACH-12AS</t>
  </si>
  <si>
    <t>ACH-18AS</t>
  </si>
  <si>
    <t>ACH-24AS</t>
  </si>
  <si>
    <t>Сплит-система; Класс A; авторестарт;  I-Feel; самоочистка; антиплесень; R410A; медная инсталляция;</t>
  </si>
  <si>
    <t>WD-DНО-21CE</t>
  </si>
  <si>
    <t>WD-DНО-22CE</t>
  </si>
  <si>
    <t>WD-DME-21CE</t>
  </si>
  <si>
    <t>WD-DME-23CE</t>
  </si>
  <si>
    <t>WD-SHE-22CE</t>
  </si>
  <si>
    <t>WD-SHE-23CE</t>
  </si>
  <si>
    <t>WD-SСО-11CE</t>
  </si>
  <si>
    <t>WD-SСО-13CE</t>
  </si>
  <si>
    <t>WD-SСО-15CE</t>
  </si>
  <si>
    <t>НАПОЛЬНЫЙ, со шкафчиком вентиляционное охлаждение и нагрев, белый</t>
  </si>
  <si>
    <t>НАПОЛЬНЫЙ, со шкафчиком, компрессорное охлаждение и нагрев, черный.</t>
  </si>
  <si>
    <t>НАПОЛЬНЫЙ, со шкафчиком, компрессорное охлаждение и нагрев, серый.</t>
  </si>
  <si>
    <t>НАПОЛЬНЫЙ, со шкафчиком, компрессорное охлаждение и нагрев, коричневый.</t>
  </si>
  <si>
    <t>НАПОЛЬНЫЙ, со шкафчиком, компрессорное охлаждение и нагрев, красный</t>
  </si>
  <si>
    <t>Мощность: 9,3 кВт (380); ПДУ; Длина: 120 см</t>
  </si>
  <si>
    <t>Мощность: 14,8кВт (380); ПДУ; Длина: 180 см</t>
  </si>
  <si>
    <t>Мощность: 16,4кВт (380); ПДУ; Длина: 200 см</t>
  </si>
  <si>
    <t>ACH-09ID</t>
  </si>
  <si>
    <t>ACH-12ID</t>
  </si>
  <si>
    <t>ACH-18ID</t>
  </si>
  <si>
    <t>ACH-24ID</t>
  </si>
  <si>
    <t>AM-07F</t>
  </si>
  <si>
    <t>AM-09F</t>
  </si>
  <si>
    <t>ПДУ, Автоматическое удаление конденсата; самоочистка; антиплесень; I-Feel; Turbo; iFavor; R410A; компактный дизайн; только охлаждение.</t>
  </si>
  <si>
    <r>
      <t xml:space="preserve">HD-798-ABS-G                                                                     </t>
    </r>
    <r>
      <rPr>
        <sz val="10"/>
        <rFont val="Arial"/>
        <family val="2"/>
        <charset val="204"/>
      </rPr>
      <t xml:space="preserve"> 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</si>
  <si>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r>
      <t xml:space="preserve">HD-798-ABS-W                                                                     </t>
    </r>
    <r>
      <rPr>
        <sz val="10"/>
        <rFont val="Arial"/>
        <family val="2"/>
        <charset val="204"/>
      </rPr>
      <t xml:space="preserve"> 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</si>
  <si>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r>
      <t xml:space="preserve">Сплит-система; авторестарт;  I-Feel; самоочистка; антиплесень; R410A; 
</t>
    </r>
    <r>
      <rPr>
        <b/>
        <sz val="8"/>
        <rFont val="Arial"/>
        <family val="2"/>
        <charset val="204"/>
      </rPr>
      <t>БЕЗ ИНСТАЛЛЯЦИИ</t>
    </r>
  </si>
  <si>
    <t>Сплит-система;  авторестарт;  I-Feel; самоочистка; антиплесень; R410A; алюминиево-медная инсталляция;</t>
  </si>
  <si>
    <t>Сплит-система; авторестарт;  I-Feel; самоочистка; антиплесень; R410A; медная инсталляция;</t>
  </si>
  <si>
    <t>WD-SHE-4AF</t>
  </si>
  <si>
    <t xml:space="preserve">НАПОЛЬНЫЙ, со шкафчиком, компрессорное охлаждение и нагрев, </t>
  </si>
  <si>
    <t xml:space="preserve">                Республика Казахстан, г. Алматы </t>
  </si>
  <si>
    <t>almacom FAVORITE (Гарантия: 36 месяцев)</t>
  </si>
  <si>
    <t>almacom Standart (Гарантия: 36 месяцев)</t>
  </si>
  <si>
    <t xml:space="preserve">ACH-09G </t>
  </si>
  <si>
    <t>ACH-07G</t>
  </si>
  <si>
    <t xml:space="preserve">ACH-12G </t>
  </si>
  <si>
    <t xml:space="preserve">ACH-18G </t>
  </si>
  <si>
    <t xml:space="preserve">ACH-24G </t>
  </si>
  <si>
    <t>almacom Inverter  (Гарантия: 36 месяцев)</t>
  </si>
  <si>
    <t>almacom Inverter VIP (Гарантия: 36 месяцев)</t>
  </si>
  <si>
    <t>almacom Inverter Diamond (Гарантия: 36 месяцев)</t>
  </si>
  <si>
    <t>almacom мобильные  (Гарантия: 12 месяцев)</t>
  </si>
  <si>
    <t>Настенные кондиционеры  OTEX (Гарантия: 12 месяцев)</t>
  </si>
  <si>
    <t>под заказ</t>
  </si>
  <si>
    <t>almacom Diamond (Гарантия: 36 месяцев)</t>
  </si>
  <si>
    <t>на кондиционеры и расходные  материалы</t>
  </si>
  <si>
    <t xml:space="preserve">        Республика Казахстан, г. Алматы </t>
  </si>
  <si>
    <t>almacom  АСН-18G (2016)</t>
  </si>
  <si>
    <t>Наружный блок</t>
  </si>
  <si>
    <t>almacom  АСН-09H5</t>
  </si>
  <si>
    <t>Был в работе</t>
  </si>
  <si>
    <t>almacom  АСН-24LC</t>
  </si>
  <si>
    <t>напольные</t>
  </si>
  <si>
    <t>almacom  ACP-41Н</t>
  </si>
  <si>
    <t>внутренний блок (нарушена упаковка, вмятина на корпусе)</t>
  </si>
  <si>
    <t>полупромышленные</t>
  </si>
  <si>
    <t>almacom  ACF-42HM</t>
  </si>
  <si>
    <t>almacom  AHD-24HA</t>
  </si>
  <si>
    <t>комплект (нарушена упаковка внутреннего блока)</t>
  </si>
  <si>
    <t>almacom  AMD-36HA</t>
  </si>
  <si>
    <t>almacom  AMD-42HA</t>
  </si>
  <si>
    <t>almacom  ACF-48HA (внут.бл)</t>
  </si>
  <si>
    <t>сервисный центр</t>
  </si>
  <si>
    <t>almacom  АСН-12H5</t>
  </si>
  <si>
    <t>almacom  АСН-18H5</t>
  </si>
  <si>
    <t xml:space="preserve"> Внутренний блок (Нарушена упаковка)</t>
  </si>
  <si>
    <t>АКЦИЯ</t>
  </si>
  <si>
    <t>almacom АСН-05С1</t>
  </si>
  <si>
    <t>Кондиционер LG A12LHU UPU7 (наруж бл)  -----, 2010</t>
  </si>
  <si>
    <t>Наружный блок (нарушена упаковка)</t>
  </si>
  <si>
    <t>WD-SHE-15JI</t>
  </si>
  <si>
    <t>НАСТОЛЬНЫЙ электронное охлаждение и нагрев, черный</t>
  </si>
  <si>
    <t>НАСТОЛЬНЫЙ электронное охлаждение и нагрев</t>
  </si>
  <si>
    <t xml:space="preserve">НАСТОЛЬНЫЙ электронное охлаждение и нагрев, </t>
  </si>
  <si>
    <t>НАПОЛЬНЫЙ, со шкафчиком электронное охлаждение и нагрев, черный с серебристыми вставками</t>
  </si>
  <si>
    <t xml:space="preserve">НАПОЛЬНЫЙ, со шкафчиком электронное охлаждение и нагрев, </t>
  </si>
  <si>
    <t>КУЛЕРЫ  ДЛЯ ВОДЫ almacom</t>
  </si>
  <si>
    <r>
      <rPr>
        <b/>
        <sz val="10"/>
        <rFont val="Arial"/>
        <family val="2"/>
        <charset val="204"/>
      </rPr>
      <t xml:space="preserve">HD-6666W                                      </t>
    </r>
    <r>
      <rPr>
        <sz val="10"/>
        <rFont val="Arial"/>
        <family val="2"/>
        <charset val="204"/>
      </rPr>
      <t xml:space="preserve"> (в упаковке 2 шт)</t>
    </r>
  </si>
  <si>
    <r>
      <rPr>
        <b/>
        <sz val="10"/>
        <rFont val="Arial"/>
        <family val="2"/>
        <charset val="204"/>
      </rPr>
      <t xml:space="preserve">PTC-20H </t>
    </r>
    <r>
      <rPr>
        <sz val="10"/>
        <rFont val="Arial"/>
        <family val="2"/>
        <charset val="204"/>
      </rPr>
      <t xml:space="preserve">                                                   </t>
    </r>
    <r>
      <rPr>
        <sz val="8"/>
        <rFont val="Arial"/>
        <family val="2"/>
        <charset val="204"/>
      </rPr>
      <t>(в упаковке 4шт)</t>
    </r>
  </si>
  <si>
    <t>Мощность: 7,5 кВт (380); ПДУ; Длина: 90 см</t>
  </si>
  <si>
    <t>Маслянный радиатор с вентилятором 11 секций (Fan): Мощность 2,5 кВт</t>
  </si>
  <si>
    <t xml:space="preserve">10 тонн; охлаждение+обогрев </t>
  </si>
  <si>
    <t xml:space="preserve">15 тонн; охлаждение+обогрев </t>
  </si>
  <si>
    <t xml:space="preserve">25 тонн; охлаждение+обогрев </t>
  </si>
  <si>
    <t>30 тонн; охлаждение+обогрев</t>
  </si>
  <si>
    <t>WD-SСО-1JI</t>
  </si>
  <si>
    <t>WD-SСО-2JI</t>
  </si>
  <si>
    <t>WD-SСО-3JI</t>
  </si>
  <si>
    <t>WD-SСО-4JI</t>
  </si>
  <si>
    <t>WD-SСО-15JI</t>
  </si>
  <si>
    <t>GAS R 404А</t>
  </si>
  <si>
    <t>GAS R 407С</t>
  </si>
  <si>
    <t>GAS R 507</t>
  </si>
  <si>
    <t>GAS R 600</t>
  </si>
  <si>
    <t>Объем: 6,5 кг.</t>
  </si>
  <si>
    <t>Объем: 10,9 кг.</t>
  </si>
  <si>
    <t>MH-22H</t>
  </si>
  <si>
    <t>МИКАТЕРМИЧЕСКИЙ ОБОГРЕВАТЕЛЬ</t>
  </si>
  <si>
    <t>Тип: Напольный; цвет: черный; мощность 2,2 кВт</t>
  </si>
  <si>
    <t>NOR-20H</t>
  </si>
  <si>
    <t>Тип: Напольный; цвет:белый; мощность 2 кВт.                      Спиральный нагревательный элемент</t>
  </si>
  <si>
    <t>almacom GOLD 2017 (Гарантия: 36 месяцев)</t>
  </si>
  <si>
    <t>БЕЗМАСЛЯНЫЙ ОБОГРЕВАТЕЛЬ</t>
  </si>
  <si>
    <t>АКЦИЯ РАСПРОДАЖА</t>
  </si>
  <si>
    <t>МАСЛЯНЫЕ РАДИАТОРЫ almacom</t>
  </si>
  <si>
    <t>AID-4</t>
  </si>
  <si>
    <t>AMV-22MD/S</t>
  </si>
  <si>
    <t>AMV-28MD/S</t>
  </si>
  <si>
    <t>AMV-36MD/S</t>
  </si>
  <si>
    <t>AMV-45MD/S</t>
  </si>
  <si>
    <t>AMV-56MD/S</t>
  </si>
  <si>
    <t>AMV-71MD/S</t>
  </si>
  <si>
    <t>AMV-80MD</t>
  </si>
  <si>
    <t>AMV-90MD</t>
  </si>
  <si>
    <t>AMV-112MD</t>
  </si>
  <si>
    <t>AMV-140MD</t>
  </si>
  <si>
    <t>AMV-22WM</t>
  </si>
  <si>
    <t>AMV-28WM</t>
  </si>
  <si>
    <t>AMV-36WM</t>
  </si>
  <si>
    <t>AMV-45WM</t>
  </si>
  <si>
    <t>AMV-56WM</t>
  </si>
  <si>
    <t>AMV-71WM</t>
  </si>
  <si>
    <t>AMV-80WM</t>
  </si>
  <si>
    <t>AMV-90WM</t>
  </si>
  <si>
    <t>AMV-280X5</t>
  </si>
  <si>
    <t>AMV-335X5</t>
  </si>
  <si>
    <t>AMV-400X5</t>
  </si>
  <si>
    <t>AMV-450X5</t>
  </si>
  <si>
    <t>AMV-500X5</t>
  </si>
  <si>
    <t>AMV-560X5</t>
  </si>
  <si>
    <t>AMV-615X5</t>
  </si>
  <si>
    <t>Внутренний блок настенный</t>
  </si>
  <si>
    <t>2,2 kw</t>
  </si>
  <si>
    <t>2,8 kw</t>
  </si>
  <si>
    <t>3,6 kw</t>
  </si>
  <si>
    <t>4,5 kw</t>
  </si>
  <si>
    <t>5,6 kw</t>
  </si>
  <si>
    <t>7,1 kw</t>
  </si>
  <si>
    <t>8 kw</t>
  </si>
  <si>
    <t>9 kw</t>
  </si>
  <si>
    <t>11,2 kw</t>
  </si>
  <si>
    <t>14 kw</t>
  </si>
  <si>
    <t>28 kw</t>
  </si>
  <si>
    <t>33,5 kw</t>
  </si>
  <si>
    <t>40 kw</t>
  </si>
  <si>
    <t>45 kw</t>
  </si>
  <si>
    <t>50 kw</t>
  </si>
  <si>
    <t>56 kw</t>
  </si>
  <si>
    <t>61,5 kw</t>
  </si>
  <si>
    <t>Модульный наружный блок</t>
  </si>
  <si>
    <t>Внутренний блок канальный среднего давления</t>
  </si>
  <si>
    <t>Мультизональные системы</t>
  </si>
  <si>
    <t>WD-SСО-6AF</t>
  </si>
  <si>
    <t>НАПОЛЬНЫЙ, со шкафчиком, компрессорное охлаждение и нагрев.</t>
  </si>
  <si>
    <t>ACP-60AЕ</t>
  </si>
  <si>
    <t>ожидается</t>
  </si>
  <si>
    <t>АКЦИЯ - 50%</t>
  </si>
  <si>
    <t>ограничено</t>
  </si>
  <si>
    <t>ACC-48HА</t>
  </si>
  <si>
    <t>ACC-60HА</t>
  </si>
  <si>
    <t>Сплит-система; высокого давления; R410А; ПДУ; 
 авторестарт; БЕЗ ИНСТАЛЛЯЦИИ</t>
  </si>
  <si>
    <t>AHD-48НА</t>
  </si>
  <si>
    <t>AM-09L</t>
  </si>
  <si>
    <t>ПДУ, Автоматическое удаление конденсата; самоочистка; антиплесень; I-Feel; Turbo; iFavor; R410A; компактный дизайн; охлаждение- нагрев</t>
  </si>
  <si>
    <r>
      <t>• Объем 50л.                                                                                       • Класс энергопотребления А+;
• Низкотемпературное отделение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50 Вт  • Питание: 220Вт~50 Гц 
• Вес: 15/17  кг; размер 47,4х44,7х49,6</t>
    </r>
  </si>
  <si>
    <r>
      <t>• Объем 92л.                                                                                      • Класс энергопотребления А+;
• Низкотемпературное отделение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60 Вт  • Питание: 220Вт~50 Гц 
• Вес: 21/23  кг; размер 47,4х44,7х83,1</t>
    </r>
  </si>
  <si>
    <r>
      <t xml:space="preserve">• Объем 142л.                                                                                    • Класс энергопотребления А+;
• Морозильная камера 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70 Вт  • Питание: 220Вт~50 Гц                                 • Вес: 32/35  кг; размер 47,4х49,8х128</t>
    </r>
  </si>
  <si>
    <r>
      <t>• Объем 220л.                                                                                     • Класс энергопотребления А+;
• Морозильная камера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55 Вт  • Питание: 220Вт~50 Гц 
• Вес: 40/44  кг; размер 54,5х56,6х143</t>
    </r>
  </si>
  <si>
    <r>
      <t>NO FROST   • Объем 252л.                                                                       • Класс энергопотребления А+;
• Морозильная камера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58 Вт  • Питание: 220Вт~50 Гц
• Вес: 57/63  кг; размер 54,5х59х180</t>
    </r>
  </si>
  <si>
    <r>
      <t xml:space="preserve">• Объем 270л.                                                                                    • Класс энергопотребления А+;
• Морозильная камера </t>
    </r>
    <r>
      <rPr>
        <b/>
        <sz val="7"/>
        <rFont val="Arial"/>
        <family val="2"/>
        <charset val="204"/>
      </rPr>
      <t xml:space="preserve">
</t>
    </r>
    <r>
      <rPr>
        <sz val="7"/>
        <rFont val="Arial"/>
        <family val="2"/>
        <charset val="204"/>
      </rPr>
      <t>• Озонобезопасный хладагент R-600a;
• Потребляемая мощность: 58 Вт  • Питание: 220Вт~50 Гц 
• Вес: 57*63  кг; размер 54,5х59х180</t>
    </r>
  </si>
  <si>
    <t xml:space="preserve">  МОРОЗИЛЬНЫЙ ЛАРЬ  Объем 150 л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            
• Потр. мощность: 130 Вт;  Питание: 220Вт~50 Гц                                
• размер 76х56х82,5
• Вес: 31/35 кг;  
</t>
  </si>
  <si>
    <t xml:space="preserve">  МОРОЗИЛЬНЫЙ ЛАРЬ  Объем 200 л               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
• Потр. мощность: 160 Вт;  Питание: 220Вт~50 Гц                                 
• размер 98х56х82,5
• Вес: 36/40 кг;  
</t>
  </si>
  <si>
    <t xml:space="preserve">  МОРОЗИЛЬНЫЙ ЛАРЬ  Объем 218 л           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
• Потр. мощность: 120 Вт;  Питание: 220Вт~50 Гц                                 
• размер 98х52х84,5
• Вес: 38/41 кг;  
</t>
  </si>
  <si>
    <t xml:space="preserve">  МОРОЗИЛЬНЫЙ ЛАРЬ  Объем : 300 л  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      
• Потр. мощность: 140 Вт;  Питание: 220Вт~50 Гц                                 
• размер 105,5х73,5х83,5 
• Вес: 44/50 кг;  
</t>
  </si>
  <si>
    <t xml:space="preserve">  МОРОЗИЛЬНЫЙ ЛАРЬ  Объем : 418 л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            
• Потр. мощность: 388 Вт;  Питание: 220Вт~50 Гц                                 
• размер 136,5х73х83,5 
• Вес: 53/58 кг;  
</t>
  </si>
  <si>
    <t xml:space="preserve"> ВЕРТИКАЛЬНЫЙ МОРОЗИЛЬНИК  Объем : 98 л                                                                            
• Предназначен для хранения замороженных пищевых продуктов;         
• Потр. мощность: 98 Вт;  Питание: 220Вт~50 Гц                                   
• Озонобезопасный хладагент R-600a; 
• размер 54,5х56,6х84,5                                                                      
• Вес: 31/33 кг;                                                                   
</t>
  </si>
  <si>
    <t xml:space="preserve"> ВЕРТИКАЛЬНЫЙ  МОРОЗИЛЬНИК  Объем : 208 л                                                                        
• Предназначен для хранения замороженных пищевых продуктов;         
• Потр. мощность: 82,5 Вт;  Питание: 220Вт~50 Гц                                   
• Озонобезопасный хладагент R-600a; 
• размер 54,5х56,6х143                                                                       
• Вес: 45*49 кг;                                                                
</t>
  </si>
  <si>
    <t>Внутренний блок кассетный</t>
  </si>
  <si>
    <t>AMV-28С4</t>
  </si>
  <si>
    <t>AMV-36С4</t>
  </si>
  <si>
    <t>AMV-45С4</t>
  </si>
  <si>
    <t>AMV-56С4</t>
  </si>
  <si>
    <t>AMV-71С4</t>
  </si>
  <si>
    <t>AMV-90С4</t>
  </si>
  <si>
    <t>AMV-112С4</t>
  </si>
  <si>
    <t>AMV-140С4</t>
  </si>
  <si>
    <t>AID-5</t>
  </si>
  <si>
    <t>AID-6</t>
  </si>
  <si>
    <t>AOD-2</t>
  </si>
  <si>
    <t>AOD-3</t>
  </si>
  <si>
    <t>AOD-4</t>
  </si>
  <si>
    <t>АКЦИЯ! товар ограничен</t>
  </si>
  <si>
    <t>ожидается май</t>
  </si>
  <si>
    <t>cерия
REGULAR</t>
  </si>
  <si>
    <t>серия 
GOLD</t>
  </si>
  <si>
    <t>Серия 
FAVORITE</t>
  </si>
  <si>
    <t>Серия 
DIAMOND</t>
  </si>
  <si>
    <t>серия 
STANDART</t>
  </si>
  <si>
    <t>INVERTER</t>
  </si>
  <si>
    <t>INVERTER DIAMOND</t>
  </si>
  <si>
    <t>INVERTER 
VIP</t>
  </si>
  <si>
    <t xml:space="preserve">  OTEX  МОДЕЛЬ  2017</t>
  </si>
  <si>
    <t>ACP-24LW</t>
  </si>
  <si>
    <t>ACC-18HА</t>
  </si>
  <si>
    <t>AМD-36HА</t>
  </si>
  <si>
    <t>AMD-48HА</t>
  </si>
  <si>
    <t>AMD-60HА</t>
  </si>
  <si>
    <r>
      <rPr>
        <b/>
        <sz val="10"/>
        <rFont val="Arial"/>
        <family val="2"/>
        <charset val="204"/>
      </rPr>
      <t xml:space="preserve">HD-2009G                                           </t>
    </r>
    <r>
      <rPr>
        <sz val="10"/>
        <rFont val="Arial"/>
        <family val="2"/>
        <charset val="204"/>
      </rPr>
      <t xml:space="preserve"> (в упаковке 4 шт)</t>
    </r>
  </si>
  <si>
    <r>
      <rPr>
        <b/>
        <sz val="10"/>
        <rFont val="Arial"/>
        <family val="2"/>
        <charset val="204"/>
      </rPr>
      <t xml:space="preserve">HD-2009W                                            </t>
    </r>
    <r>
      <rPr>
        <sz val="10"/>
        <rFont val="Arial"/>
        <family val="2"/>
        <charset val="204"/>
      </rPr>
      <t xml:space="preserve"> (в упаковке 4 шт)</t>
    </r>
  </si>
  <si>
    <r>
      <t xml:space="preserve"> </t>
    </r>
    <r>
      <rPr>
        <b/>
        <sz val="10"/>
        <rFont val="Arial"/>
        <family val="2"/>
        <charset val="204"/>
      </rPr>
      <t xml:space="preserve">HFD-1200A                                               </t>
    </r>
    <r>
      <rPr>
        <sz val="10"/>
        <rFont val="Arial"/>
        <family val="2"/>
        <charset val="204"/>
      </rPr>
      <t xml:space="preserve"> (в упаковке  шт)</t>
    </r>
  </si>
  <si>
    <r>
      <t xml:space="preserve"> </t>
    </r>
    <r>
      <rPr>
        <b/>
        <sz val="10"/>
        <rFont val="Arial"/>
        <family val="2"/>
        <charset val="204"/>
      </rPr>
      <t xml:space="preserve">HFD-1200B                                               </t>
    </r>
    <r>
      <rPr>
        <sz val="10"/>
        <rFont val="Arial"/>
        <family val="2"/>
        <charset val="204"/>
      </rPr>
      <t xml:space="preserve"> (в упаковке  шт)</t>
    </r>
  </si>
  <si>
    <t>Настенный фен для сушки волос, мощность 1200Вт</t>
  </si>
  <si>
    <t>PD-QW-ABS1</t>
  </si>
  <si>
    <t>TPD-CW-ABS2</t>
  </si>
  <si>
    <t>PD-QG-MP3</t>
  </si>
  <si>
    <t>TPD-CG-MP4</t>
  </si>
  <si>
    <t>TD-RG-MP5</t>
  </si>
  <si>
    <t>Диспенсер для листовых бумажных полотенец Z укладки          Материал: ABS Пластик</t>
  </si>
  <si>
    <t>HD-588                                                     (в упаковке 8 шт)</t>
  </si>
  <si>
    <t>HD-688                                                       (в упаковке 8 шт)</t>
  </si>
  <si>
    <t>Настенный диспенсер туалетной бумаги в больших рулонах        Материал: ABS Пластик</t>
  </si>
  <si>
    <t>Настенный диспенсер для листовых бумажных полотенец Z укладки          Материал: нержавеющая сталь</t>
  </si>
  <si>
    <t>Диспенсер для бумажных полотенец, салфеток, туалетной бумаги</t>
  </si>
  <si>
    <t>Настенный диспенсер туалетной бумаги в больших рулонах        Материал: нержавеющая сталь                                                        
Тип поверхности: Глянец</t>
  </si>
  <si>
    <t>Настенный диспенсер салфеток для лица                                     Материал: нержавеющая сталь                                                       
Тип поверхности: Глянец</t>
  </si>
  <si>
    <t>поступление 10.06.2019</t>
  </si>
  <si>
    <t>поступление 28.05.2019</t>
  </si>
  <si>
    <t>ожидаются 25.06.2019</t>
  </si>
  <si>
    <t>Фен настенный для волос</t>
  </si>
  <si>
    <t xml:space="preserve">20.05.2019г. </t>
  </si>
  <si>
    <t>Сплит-система инвертор; R410А; ПДУ;  авторестарт; блокировка панели управления; 5м медная инсталляция; цвет золотистый</t>
  </si>
  <si>
    <t>Сплит-система инвертор; R410А; ПДУ;  авторестарт; блокировка панели управления; 5м медная инсталляция; цвет белый</t>
  </si>
  <si>
    <t>ACP-24AЕ</t>
  </si>
  <si>
    <t>в резерве</t>
  </si>
  <si>
    <t>Сплит-система; среднего давления; R410А; ПДУ; 
 авторестарт; БЕЗ ИНСТАЛЛЯЦИИ</t>
  </si>
  <si>
    <t>Промышленные кондиционеры Сплит-система; высокого давления; R410А; ПДУ; авторестарт; БЕЗ ИНСТАЛЛЯЦИИ</t>
  </si>
  <si>
    <t>Цена, тенге.</t>
  </si>
  <si>
    <t>Цена, тенге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</si>
</sst>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26"/>
      <name val="Arial Cyr"/>
      <charset val="204"/>
    </font>
    <font>
      <sz val="8"/>
      <name val="Arial"/>
      <family val="2"/>
      <charset val="1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1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"/>
      <name val="Arial"/>
      <family val="2"/>
      <charset val="204"/>
    </font>
    <font>
      <b/>
      <sz val="12"/>
      <name val="Arial"/>
      <family val="2"/>
      <charset val="1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0"/>
      <name val="Helv"/>
      <family val="2"/>
    </font>
    <font>
      <sz val="10"/>
      <name val="Arial Cyr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9"/>
      <color theme="1"/>
      <name val="Arial Narrow"/>
      <family val="2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1"/>
    </font>
    <font>
      <sz val="12"/>
      <name val="宋体"/>
      <family val="3"/>
      <charset val="134"/>
    </font>
    <font>
      <sz val="7.5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name val="Arial"/>
      <family val="2"/>
      <charset val="1"/>
    </font>
    <font>
      <b/>
      <sz val="10.5"/>
      <color theme="1"/>
      <name val="Arial"/>
      <family val="2"/>
      <charset val="204"/>
    </font>
    <font>
      <b/>
      <sz val="10.5"/>
      <color theme="0"/>
      <name val="Arial"/>
      <family val="2"/>
      <charset val="204"/>
    </font>
    <font>
      <sz val="10"/>
      <color theme="0"/>
      <name val="Arial"/>
      <family val="2"/>
      <charset val="1"/>
    </font>
    <font>
      <b/>
      <sz val="15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7" fillId="0" borderId="0"/>
    <xf numFmtId="0" fontId="3" fillId="0" borderId="0"/>
    <xf numFmtId="0" fontId="37" fillId="0" borderId="0"/>
    <xf numFmtId="0" fontId="38" fillId="0" borderId="0"/>
    <xf numFmtId="43" fontId="53" fillId="0" borderId="0"/>
    <xf numFmtId="0" fontId="32" fillId="0" borderId="0"/>
  </cellStyleXfs>
  <cellXfs count="789"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3" fontId="2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/>
    <xf numFmtId="0" fontId="36" fillId="0" borderId="0" xfId="0" applyFont="1" applyAlignment="1">
      <alignment horizontal="left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41" fillId="0" borderId="1" xfId="0" applyNumberFormat="1" applyFont="1" applyBorder="1" applyAlignment="1" applyProtection="1">
      <alignment horizontal="center" vertical="center" wrapText="1"/>
      <protection locked="0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3" fontId="42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3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3" fillId="0" borderId="0" xfId="0" applyNumberFormat="1" applyFont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5" xfId="0" applyFont="1" applyFill="1" applyBorder="1" applyAlignment="1" applyProtection="1">
      <alignment vertical="center" wrapText="1"/>
      <protection locked="0"/>
    </xf>
    <xf numFmtId="0" fontId="24" fillId="2" borderId="0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3" fontId="2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44" fillId="4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3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3" fontId="50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3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16" fontId="51" fillId="0" borderId="21" xfId="0" applyNumberFormat="1" applyFont="1" applyFill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3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 applyProtection="1">
      <alignment horizontal="center" vertical="center" wrapText="1"/>
      <protection locked="0"/>
    </xf>
    <xf numFmtId="3" fontId="17" fillId="0" borderId="6" xfId="0" applyNumberFormat="1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50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Fill="1" applyBorder="1" applyAlignment="1" applyProtection="1">
      <alignment horizontal="center" vertical="center" wrapText="1"/>
      <protection locked="0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50" fillId="0" borderId="8" xfId="0" applyFont="1" applyBorder="1" applyAlignment="1" applyProtection="1">
      <alignment horizontal="center" vertical="center" wrapText="1"/>
      <protection locked="0"/>
    </xf>
    <xf numFmtId="3" fontId="17" fillId="0" borderId="8" xfId="0" applyNumberFormat="1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1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8" xfId="0" applyFont="1" applyFill="1" applyBorder="1" applyAlignment="1" applyProtection="1">
      <alignment horizontal="left" vertical="center" wrapText="1"/>
      <protection locked="0"/>
    </xf>
    <xf numFmtId="0" fontId="50" fillId="0" borderId="8" xfId="0" applyFont="1" applyFill="1" applyBorder="1" applyAlignment="1" applyProtection="1">
      <alignment horizontal="center" vertical="center" wrapText="1"/>
      <protection locked="0"/>
    </xf>
    <xf numFmtId="3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3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7" xfId="0" applyFont="1" applyBorder="1" applyAlignment="1" applyProtection="1">
      <alignment horizontal="left" vertical="center" wrapText="1"/>
      <protection locked="0"/>
    </xf>
    <xf numFmtId="0" fontId="50" fillId="0" borderId="7" xfId="0" applyFont="1" applyBorder="1" applyAlignment="1" applyProtection="1">
      <alignment horizontal="center" vertical="center" wrapText="1"/>
      <protection locked="0"/>
    </xf>
    <xf numFmtId="3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3" fontId="50" fillId="0" borderId="14" xfId="0" applyNumberFormat="1" applyFont="1" applyBorder="1" applyAlignment="1" applyProtection="1">
      <alignment horizontal="center" vertical="center" wrapText="1"/>
      <protection locked="0"/>
    </xf>
    <xf numFmtId="3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left" vertical="center" wrapText="1"/>
      <protection locked="0"/>
    </xf>
    <xf numFmtId="3" fontId="50" fillId="0" borderId="32" xfId="0" applyNumberFormat="1" applyFont="1" applyBorder="1" applyAlignment="1" applyProtection="1">
      <alignment horizontal="center" vertical="center" wrapText="1"/>
      <protection locked="0"/>
    </xf>
    <xf numFmtId="0" fontId="50" fillId="0" borderId="8" xfId="0" applyFont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 applyProtection="1">
      <alignment horizontal="left" vertical="center" wrapText="1"/>
      <protection locked="0"/>
    </xf>
    <xf numFmtId="14" fontId="33" fillId="0" borderId="0" xfId="0" applyNumberFormat="1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57" fillId="4" borderId="0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5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16" fontId="50" fillId="0" borderId="21" xfId="0" applyNumberFormat="1" applyFont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2" fillId="9" borderId="6" xfId="0" applyFont="1" applyFill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>
      <alignment horizontal="centerContinuous" vertical="top"/>
    </xf>
    <xf numFmtId="0" fontId="11" fillId="3" borderId="1" xfId="0" applyFont="1" applyFill="1" applyBorder="1" applyAlignment="1">
      <alignment horizontal="centerContinuous" vertical="top"/>
    </xf>
    <xf numFmtId="0" fontId="11" fillId="3" borderId="1" xfId="0" applyFont="1" applyFill="1" applyBorder="1" applyAlignment="1">
      <alignment horizontal="centerContinuous" vertical="top" wrapText="1"/>
    </xf>
    <xf numFmtId="1" fontId="17" fillId="0" borderId="1" xfId="0" applyNumberFormat="1" applyFont="1" applyBorder="1" applyAlignment="1">
      <alignment horizontal="center" vertical="center"/>
    </xf>
    <xf numFmtId="1" fontId="0" fillId="0" borderId="0" xfId="0" applyNumberFormat="1" applyAlignment="1"/>
    <xf numFmtId="3" fontId="0" fillId="0" borderId="0" xfId="0" applyNumberFormat="1" applyAlignment="1"/>
    <xf numFmtId="14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50" fillId="0" borderId="21" xfId="0" applyNumberFormat="1" applyFont="1" applyFill="1" applyBorder="1" applyAlignment="1" applyProtection="1">
      <alignment horizontal="center" vertical="center"/>
      <protection locked="0"/>
    </xf>
    <xf numFmtId="14" fontId="50" fillId="0" borderId="17" xfId="0" applyNumberFormat="1" applyFont="1" applyFill="1" applyBorder="1" applyAlignment="1" applyProtection="1">
      <alignment horizontal="center" vertical="center"/>
      <protection locked="0"/>
    </xf>
    <xf numFmtId="14" fontId="50" fillId="4" borderId="17" xfId="0" applyNumberFormat="1" applyFont="1" applyFill="1" applyBorder="1" applyAlignment="1" applyProtection="1">
      <alignment horizontal="center" vertical="center"/>
      <protection locked="0"/>
    </xf>
    <xf numFmtId="14" fontId="49" fillId="0" borderId="21" xfId="0" applyNumberFormat="1" applyFont="1" applyFill="1" applyBorder="1" applyAlignment="1">
      <alignment horizontal="center" vertical="center"/>
    </xf>
    <xf numFmtId="0" fontId="50" fillId="4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wrapText="1"/>
    </xf>
    <xf numFmtId="3" fontId="11" fillId="0" borderId="21" xfId="0" applyNumberFormat="1" applyFont="1" applyBorder="1" applyAlignment="1"/>
    <xf numFmtId="16" fontId="49" fillId="0" borderId="21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11" fillId="0" borderId="0" xfId="0" applyFont="1" applyAlignment="1"/>
    <xf numFmtId="0" fontId="50" fillId="0" borderId="1" xfId="0" applyFont="1" applyBorder="1" applyAlignment="1" applyProtection="1">
      <alignment horizontal="left" vertical="center" wrapText="1"/>
      <protection locked="0"/>
    </xf>
    <xf numFmtId="16" fontId="0" fillId="0" borderId="0" xfId="0" applyNumberForma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50" fillId="0" borderId="25" xfId="0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5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51" fillId="0" borderId="25" xfId="0" applyFont="1" applyFill="1" applyBorder="1" applyAlignment="1" applyProtection="1">
      <alignment horizontal="center" vertical="center"/>
      <protection locked="0"/>
    </xf>
    <xf numFmtId="14" fontId="50" fillId="0" borderId="26" xfId="0" applyNumberFormat="1" applyFont="1" applyFill="1" applyBorder="1" applyAlignment="1" applyProtection="1">
      <alignment horizontal="center" vertical="center"/>
      <protection locked="0"/>
    </xf>
    <xf numFmtId="14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14" fontId="5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16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4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4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0" fillId="0" borderId="53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35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wrapText="1"/>
    </xf>
    <xf numFmtId="1" fontId="17" fillId="10" borderId="32" xfId="0" applyNumberFormat="1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top"/>
    </xf>
    <xf numFmtId="3" fontId="11" fillId="10" borderId="35" xfId="0" applyNumberFormat="1" applyFont="1" applyFill="1" applyBorder="1" applyAlignment="1"/>
    <xf numFmtId="0" fontId="5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50" fillId="0" borderId="14" xfId="0" applyFont="1" applyFill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32" xfId="0" applyFont="1" applyFill="1" applyBorder="1" applyAlignment="1" applyProtection="1">
      <alignment horizontal="left" vertical="center" wrapText="1"/>
      <protection locked="0"/>
    </xf>
    <xf numFmtId="0" fontId="50" fillId="0" borderId="32" xfId="0" applyFont="1" applyFill="1" applyBorder="1" applyAlignment="1" applyProtection="1">
      <alignment horizontal="center" vertical="center" wrapText="1"/>
      <protection locked="0"/>
    </xf>
    <xf numFmtId="0" fontId="50" fillId="4" borderId="26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 applyProtection="1">
      <alignment horizontal="left" vertical="top" wrapText="1"/>
      <protection locked="0"/>
    </xf>
    <xf numFmtId="0" fontId="50" fillId="0" borderId="1" xfId="0" applyFont="1" applyFill="1" applyBorder="1" applyAlignment="1" applyProtection="1">
      <alignment horizontal="left" vertical="top" wrapText="1"/>
      <protection locked="0"/>
    </xf>
    <xf numFmtId="0" fontId="50" fillId="0" borderId="32" xfId="0" applyFont="1" applyFill="1" applyBorder="1" applyAlignment="1" applyProtection="1">
      <alignment horizontal="left" vertical="top" wrapText="1"/>
      <protection locked="0"/>
    </xf>
    <xf numFmtId="0" fontId="50" fillId="0" borderId="8" xfId="0" applyFont="1" applyFill="1" applyBorder="1" applyAlignment="1" applyProtection="1">
      <alignment horizontal="left" vertical="top" wrapText="1"/>
      <protection locked="0"/>
    </xf>
    <xf numFmtId="0" fontId="50" fillId="0" borderId="6" xfId="0" applyFont="1" applyFill="1" applyBorder="1" applyAlignment="1" applyProtection="1">
      <alignment horizontal="left" vertical="top" wrapText="1"/>
      <protection locked="0"/>
    </xf>
    <xf numFmtId="14" fontId="49" fillId="0" borderId="25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14" fontId="50" fillId="4" borderId="26" xfId="0" applyNumberFormat="1" applyFont="1" applyFill="1" applyBorder="1" applyAlignment="1" applyProtection="1">
      <alignment horizontal="center" vertical="center" wrapText="1"/>
      <protection locked="0"/>
    </xf>
    <xf numFmtId="14" fontId="5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3" fontId="17" fillId="4" borderId="14" xfId="0" applyNumberFormat="1" applyFont="1" applyFill="1" applyBorder="1" applyAlignment="1" applyProtection="1">
      <alignment horizontal="center" vertical="center" wrapText="1"/>
      <protection locked="0"/>
    </xf>
    <xf numFmtId="14" fontId="50" fillId="4" borderId="15" xfId="0" applyNumberFormat="1" applyFont="1" applyFill="1" applyBorder="1" applyAlignment="1" applyProtection="1">
      <alignment horizontal="center" vertical="center"/>
      <protection locked="0"/>
    </xf>
    <xf numFmtId="14" fontId="50" fillId="4" borderId="25" xfId="0" applyNumberFormat="1" applyFont="1" applyFill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3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14" fontId="50" fillId="4" borderId="35" xfId="0" applyNumberFormat="1" applyFont="1" applyFill="1" applyBorder="1" applyAlignment="1" applyProtection="1">
      <alignment horizontal="center" vertical="center"/>
      <protection locked="0"/>
    </xf>
    <xf numFmtId="14" fontId="50" fillId="4" borderId="21" xfId="0" applyNumberFormat="1" applyFont="1" applyFill="1" applyBorder="1" applyAlignment="1" applyProtection="1">
      <alignment horizontal="center" vertical="center"/>
      <protection locked="0"/>
    </xf>
    <xf numFmtId="14" fontId="50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15" xfId="0" applyFont="1" applyFill="1" applyBorder="1" applyAlignment="1" applyProtection="1">
      <alignment horizontal="center" vertical="center"/>
      <protection locked="0"/>
    </xf>
    <xf numFmtId="0" fontId="50" fillId="4" borderId="21" xfId="0" applyFont="1" applyFill="1" applyBorder="1" applyAlignment="1" applyProtection="1">
      <alignment horizontal="center" vertical="center"/>
      <protection locked="0"/>
    </xf>
    <xf numFmtId="0" fontId="50" fillId="4" borderId="35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17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7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17" fontId="5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14" fontId="5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0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/>
    <xf numFmtId="0" fontId="60" fillId="0" borderId="0" xfId="0" applyFont="1" applyFill="1" applyAlignment="1">
      <alignment horizontal="center"/>
    </xf>
    <xf numFmtId="0" fontId="0" fillId="0" borderId="21" xfId="0" applyBorder="1"/>
    <xf numFmtId="1" fontId="17" fillId="0" borderId="1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9" borderId="22" xfId="0" applyFont="1" applyFill="1" applyBorder="1" applyAlignment="1" applyProtection="1">
      <alignment horizontal="centerContinuous" vertical="center" wrapText="1"/>
      <protection locked="0"/>
    </xf>
    <xf numFmtId="0" fontId="20" fillId="9" borderId="1" xfId="0" applyFont="1" applyFill="1" applyBorder="1" applyAlignment="1" applyProtection="1">
      <alignment horizontal="center" vertical="center" wrapText="1"/>
      <protection locked="0"/>
    </xf>
    <xf numFmtId="0" fontId="20" fillId="9" borderId="1" xfId="0" applyFont="1" applyFill="1" applyBorder="1" applyAlignment="1" applyProtection="1">
      <alignment horizontal="centerContinuous" vertical="center" wrapText="1"/>
      <protection locked="0"/>
    </xf>
    <xf numFmtId="3" fontId="20" fillId="9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22" xfId="0" applyFont="1" applyBorder="1" applyAlignment="1" applyProtection="1">
      <alignment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14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14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14" fontId="50" fillId="0" borderId="15" xfId="0" applyNumberFormat="1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top"/>
    </xf>
    <xf numFmtId="0" fontId="24" fillId="8" borderId="1" xfId="0" applyFont="1" applyFill="1" applyBorder="1" applyAlignment="1" applyProtection="1">
      <alignment horizontal="centerContinuous" vertical="center" wrapText="1"/>
      <protection locked="0"/>
    </xf>
    <xf numFmtId="3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1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3" fontId="13" fillId="0" borderId="38" xfId="0" applyNumberFormat="1" applyFont="1" applyBorder="1" applyAlignment="1" applyProtection="1">
      <alignment horizontal="center" vertical="center" wrapText="1"/>
      <protection locked="0"/>
    </xf>
    <xf numFmtId="3" fontId="11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3" fontId="11" fillId="10" borderId="35" xfId="0" applyNumberFormat="1" applyFont="1" applyFill="1" applyBorder="1" applyAlignment="1">
      <alignment horizontal="center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50" fillId="0" borderId="7" xfId="0" applyFont="1" applyFill="1" applyBorder="1" applyAlignment="1" applyProtection="1">
      <alignment horizontal="left" vertical="center" wrapText="1"/>
      <protection locked="0"/>
    </xf>
    <xf numFmtId="17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39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17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1" fontId="0" fillId="0" borderId="60" xfId="0" applyNumberFormat="1" applyBorder="1" applyAlignment="1" applyProtection="1">
      <protection locked="0"/>
    </xf>
    <xf numFmtId="14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3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3" fontId="17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50" fillId="3" borderId="1" xfId="0" applyFont="1" applyFill="1" applyBorder="1" applyAlignment="1" applyProtection="1">
      <alignment horizontal="left" vertical="center" wrapText="1"/>
      <protection locked="0"/>
    </xf>
    <xf numFmtId="0" fontId="50" fillId="3" borderId="1" xfId="0" applyFont="1" applyFill="1" applyBorder="1" applyAlignment="1" applyProtection="1">
      <alignment horizontal="center" vertical="center" wrapText="1"/>
      <protection locked="0"/>
    </xf>
    <xf numFmtId="1" fontId="17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wrapText="1"/>
      <protection locked="0"/>
    </xf>
    <xf numFmtId="0" fontId="50" fillId="3" borderId="32" xfId="0" applyFont="1" applyFill="1" applyBorder="1" applyAlignment="1" applyProtection="1">
      <alignment horizontal="left" vertical="center" wrapText="1"/>
      <protection locked="0"/>
    </xf>
    <xf numFmtId="0" fontId="50" fillId="3" borderId="32" xfId="0" applyFont="1" applyFill="1" applyBorder="1" applyAlignment="1" applyProtection="1">
      <alignment horizontal="center" vertical="center" wrapText="1"/>
      <protection locked="0"/>
    </xf>
    <xf numFmtId="1" fontId="17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0" fillId="0" borderId="35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3" fontId="17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3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1" fillId="0" borderId="26" xfId="0" applyFont="1" applyFill="1" applyBorder="1" applyAlignment="1" applyProtection="1">
      <alignment horizontal="center" vertical="center" wrapText="1"/>
      <protection locked="0"/>
    </xf>
    <xf numFmtId="14" fontId="50" fillId="3" borderId="35" xfId="0" applyNumberFormat="1" applyFont="1" applyFill="1" applyBorder="1" applyAlignment="1" applyProtection="1">
      <alignment horizontal="center" vertical="center"/>
      <protection locked="0"/>
    </xf>
    <xf numFmtId="16" fontId="63" fillId="0" borderId="26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50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50" fillId="3" borderId="21" xfId="0" applyNumberFormat="1" applyFont="1" applyFill="1" applyBorder="1" applyAlignment="1" applyProtection="1">
      <alignment horizontal="center" vertical="center" wrapText="1"/>
      <protection locked="0"/>
    </xf>
    <xf numFmtId="17" fontId="5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left" vertical="center" wrapText="1"/>
      <protection locked="0"/>
    </xf>
    <xf numFmtId="0" fontId="51" fillId="3" borderId="21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50" fillId="3" borderId="8" xfId="0" applyFont="1" applyFill="1" applyBorder="1" applyAlignment="1" applyProtection="1">
      <alignment horizontal="center" vertical="center" wrapText="1"/>
      <protection locked="0"/>
    </xf>
    <xf numFmtId="0" fontId="50" fillId="3" borderId="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0" fillId="3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14" fontId="50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3" borderId="39" xfId="0" applyFont="1" applyFill="1" applyBorder="1" applyAlignment="1" applyProtection="1">
      <alignment horizontal="center" vertical="center" textRotation="90" wrapText="1" shrinkToFi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" fontId="21" fillId="0" borderId="0" xfId="0" applyNumberFormat="1" applyFont="1" applyBorder="1" applyAlignment="1" applyProtection="1">
      <alignment horizontal="left" vertical="center"/>
      <protection locked="0"/>
    </xf>
    <xf numFmtId="1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14" fontId="50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1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Protection="1">
      <protection locked="0"/>
    </xf>
    <xf numFmtId="0" fontId="65" fillId="0" borderId="0" xfId="0" applyFont="1" applyFill="1" applyBorder="1" applyAlignment="1">
      <alignment horizontal="center" vertical="center"/>
    </xf>
    <xf numFmtId="3" fontId="17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14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Fill="1" applyBorder="1" applyAlignment="1" applyProtection="1">
      <alignment horizontal="center" vertical="center" wrapText="1"/>
      <protection locked="0"/>
    </xf>
    <xf numFmtId="1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6" fontId="63" fillId="3" borderId="21" xfId="0" applyNumberFormat="1" applyFont="1" applyFill="1" applyBorder="1" applyAlignment="1">
      <alignment horizontal="center" vertical="center" wrapText="1"/>
    </xf>
    <xf numFmtId="14" fontId="63" fillId="0" borderId="21" xfId="0" applyNumberFormat="1" applyFont="1" applyFill="1" applyBorder="1" applyAlignment="1">
      <alignment horizontal="center" vertical="center"/>
    </xf>
    <xf numFmtId="0" fontId="63" fillId="3" borderId="2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14" fontId="50" fillId="3" borderId="21" xfId="0" applyNumberFormat="1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62" fillId="3" borderId="42" xfId="0" applyFont="1" applyFill="1" applyBorder="1" applyAlignment="1" applyProtection="1">
      <alignment horizontal="center" vertical="center" wrapText="1"/>
      <protection locked="0"/>
    </xf>
    <xf numFmtId="0" fontId="62" fillId="3" borderId="27" xfId="0" applyFont="1" applyFill="1" applyBorder="1" applyAlignment="1" applyProtection="1">
      <alignment horizontal="center" vertical="center" wrapText="1"/>
      <protection locked="0"/>
    </xf>
    <xf numFmtId="0" fontId="62" fillId="3" borderId="48" xfId="0" applyFont="1" applyFill="1" applyBorder="1" applyAlignment="1" applyProtection="1">
      <alignment horizontal="center" vertical="center" wrapText="1"/>
      <protection locked="0"/>
    </xf>
    <xf numFmtId="0" fontId="64" fillId="5" borderId="54" xfId="0" applyFont="1" applyFill="1" applyBorder="1" applyAlignment="1" applyProtection="1">
      <alignment horizontal="center" vertical="center"/>
      <protection locked="0"/>
    </xf>
    <xf numFmtId="0" fontId="21" fillId="5" borderId="58" xfId="0" applyFont="1" applyFill="1" applyBorder="1" applyAlignment="1" applyProtection="1">
      <alignment horizontal="center" vertical="center"/>
      <protection locked="0"/>
    </xf>
    <xf numFmtId="0" fontId="21" fillId="5" borderId="5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 textRotation="90" shrinkToFi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18" fillId="4" borderId="47" xfId="0" applyFont="1" applyFill="1" applyBorder="1" applyAlignment="1" applyProtection="1">
      <alignment horizontal="center" vertical="center" wrapText="1"/>
      <protection locked="0"/>
    </xf>
    <xf numFmtId="0" fontId="64" fillId="5" borderId="58" xfId="0" applyFont="1" applyFill="1" applyBorder="1" applyAlignment="1" applyProtection="1">
      <alignment horizontal="center" vertical="center"/>
      <protection locked="0"/>
    </xf>
    <xf numFmtId="0" fontId="64" fillId="5" borderId="59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textRotation="90" wrapText="1" shrinkToFit="1"/>
      <protection locked="0"/>
    </xf>
    <xf numFmtId="0" fontId="12" fillId="0" borderId="22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34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20" fillId="7" borderId="54" xfId="0" applyFont="1" applyFill="1" applyBorder="1" applyAlignment="1" applyProtection="1">
      <alignment horizontal="center" vertical="center" wrapText="1"/>
      <protection locked="0"/>
    </xf>
    <xf numFmtId="0" fontId="20" fillId="7" borderId="58" xfId="0" applyFont="1" applyFill="1" applyBorder="1" applyAlignment="1" applyProtection="1">
      <alignment horizontal="center" vertical="center" wrapText="1"/>
      <protection locked="0"/>
    </xf>
    <xf numFmtId="0" fontId="20" fillId="7" borderId="59" xfId="0" applyFont="1" applyFill="1" applyBorder="1" applyAlignment="1" applyProtection="1">
      <alignment horizontal="center" vertical="center" wrapText="1"/>
      <protection locked="0"/>
    </xf>
    <xf numFmtId="0" fontId="31" fillId="5" borderId="43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5" borderId="4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textRotation="90" wrapText="1" shrinkToFit="1"/>
      <protection locked="0"/>
    </xf>
    <xf numFmtId="0" fontId="12" fillId="0" borderId="20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57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textRotation="90" wrapText="1" shrinkToFi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64" fillId="5" borderId="50" xfId="0" applyFont="1" applyFill="1" applyBorder="1" applyAlignment="1" applyProtection="1">
      <alignment horizontal="center" vertical="center"/>
      <protection locked="0"/>
    </xf>
    <xf numFmtId="0" fontId="64" fillId="5" borderId="49" xfId="0" applyFont="1" applyFill="1" applyBorder="1" applyAlignment="1" applyProtection="1">
      <alignment horizontal="center" vertical="center"/>
      <protection locked="0"/>
    </xf>
    <xf numFmtId="0" fontId="64" fillId="5" borderId="5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20" fillId="7" borderId="50" xfId="0" applyFont="1" applyFill="1" applyBorder="1" applyAlignment="1" applyProtection="1">
      <alignment horizontal="center" vertical="center" wrapText="1"/>
      <protection locked="0"/>
    </xf>
    <xf numFmtId="0" fontId="20" fillId="7" borderId="49" xfId="0" applyFont="1" applyFill="1" applyBorder="1" applyAlignment="1" applyProtection="1">
      <alignment horizontal="center" vertical="center" wrapText="1"/>
      <protection locked="0"/>
    </xf>
    <xf numFmtId="0" fontId="20" fillId="7" borderId="51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/>
    </xf>
    <xf numFmtId="0" fontId="21" fillId="5" borderId="49" xfId="0" applyFont="1" applyFill="1" applyBorder="1" applyAlignment="1" applyProtection="1">
      <alignment horizontal="center" vertical="center"/>
      <protection locked="0"/>
    </xf>
    <xf numFmtId="0" fontId="21" fillId="5" borderId="51" xfId="0" applyFont="1" applyFill="1" applyBorder="1" applyAlignment="1" applyProtection="1">
      <alignment horizontal="center" vertical="center"/>
      <protection locked="0"/>
    </xf>
    <xf numFmtId="0" fontId="64" fillId="4" borderId="43" xfId="0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horizontal="center" vertical="center"/>
      <protection locked="0"/>
    </xf>
    <xf numFmtId="0" fontId="21" fillId="4" borderId="45" xfId="0" applyFont="1" applyFill="1" applyBorder="1" applyAlignment="1" applyProtection="1">
      <alignment horizontal="center" vertical="center"/>
      <protection locked="0"/>
    </xf>
    <xf numFmtId="0" fontId="20" fillId="3" borderId="54" xfId="0" applyFont="1" applyFill="1" applyBorder="1" applyAlignment="1" applyProtection="1">
      <alignment horizontal="center" vertical="center" wrapText="1"/>
      <protection locked="0"/>
    </xf>
    <xf numFmtId="0" fontId="20" fillId="3" borderId="58" xfId="0" applyFont="1" applyFill="1" applyBorder="1" applyAlignment="1" applyProtection="1">
      <alignment horizontal="center" vertical="center" wrapText="1"/>
      <protection locked="0"/>
    </xf>
    <xf numFmtId="0" fontId="20" fillId="3" borderId="59" xfId="0" applyFont="1" applyFill="1" applyBorder="1" applyAlignment="1" applyProtection="1">
      <alignment horizontal="center" vertical="center" wrapText="1"/>
      <protection locked="0"/>
    </xf>
    <xf numFmtId="0" fontId="64" fillId="5" borderId="43" xfId="0" applyFont="1" applyFill="1" applyBorder="1" applyAlignment="1" applyProtection="1">
      <alignment horizontal="center" vertical="center"/>
      <protection locked="0"/>
    </xf>
    <xf numFmtId="0" fontId="21" fillId="5" borderId="44" xfId="0" applyFont="1" applyFill="1" applyBorder="1" applyAlignment="1" applyProtection="1">
      <alignment horizontal="center" vertical="center"/>
      <protection locked="0"/>
    </xf>
    <xf numFmtId="0" fontId="21" fillId="5" borderId="45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20" fillId="7" borderId="43" xfId="0" applyFont="1" applyFill="1" applyBorder="1" applyAlignment="1" applyProtection="1">
      <alignment horizontal="center" vertical="center" wrapText="1"/>
      <protection locked="0"/>
    </xf>
    <xf numFmtId="0" fontId="20" fillId="7" borderId="44" xfId="0" applyFont="1" applyFill="1" applyBorder="1" applyAlignment="1" applyProtection="1">
      <alignment horizontal="center" vertical="center" wrapText="1"/>
      <protection locked="0"/>
    </xf>
    <xf numFmtId="0" fontId="20" fillId="7" borderId="45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20" fillId="7" borderId="19" xfId="0" applyFont="1" applyFill="1" applyBorder="1" applyAlignment="1" applyProtection="1">
      <alignment horizontal="center" vertical="center" wrapText="1"/>
      <protection locked="0"/>
    </xf>
    <xf numFmtId="0" fontId="20" fillId="7" borderId="7" xfId="0" applyFont="1" applyFill="1" applyBorder="1" applyAlignment="1" applyProtection="1">
      <alignment horizontal="center" vertical="center" wrapText="1"/>
      <protection locked="0"/>
    </xf>
    <xf numFmtId="0" fontId="20" fillId="7" borderId="27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32" fillId="4" borderId="14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0" fontId="32" fillId="4" borderId="32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20" fillId="7" borderId="36" xfId="0" applyFont="1" applyFill="1" applyBorder="1" applyAlignment="1" applyProtection="1">
      <alignment horizontal="center" vertical="center" wrapText="1"/>
      <protection locked="0"/>
    </xf>
    <xf numFmtId="0" fontId="20" fillId="7" borderId="37" xfId="0" applyFont="1" applyFill="1" applyBorder="1" applyAlignment="1" applyProtection="1">
      <alignment horizontal="center" vertical="center" wrapText="1"/>
      <protection locked="0"/>
    </xf>
    <xf numFmtId="0" fontId="20" fillId="7" borderId="38" xfId="0" applyFont="1" applyFill="1" applyBorder="1" applyAlignment="1" applyProtection="1">
      <alignment horizontal="center" vertical="center" wrapText="1"/>
      <protection locked="0"/>
    </xf>
    <xf numFmtId="0" fontId="20" fillId="7" borderId="60" xfId="0" applyFont="1" applyFill="1" applyBorder="1" applyAlignment="1" applyProtection="1">
      <alignment horizontal="center" vertical="center" wrapText="1"/>
      <protection locked="0"/>
    </xf>
    <xf numFmtId="0" fontId="20" fillId="7" borderId="0" xfId="0" applyFont="1" applyFill="1" applyBorder="1" applyAlignment="1" applyProtection="1">
      <alignment horizontal="center" vertical="center" wrapText="1"/>
      <protection locked="0"/>
    </xf>
    <xf numFmtId="0" fontId="20" fillId="7" borderId="2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20" fillId="2" borderId="43" xfId="0" applyFont="1" applyFill="1" applyBorder="1" applyAlignment="1" applyProtection="1">
      <alignment horizontal="center" vertical="center" wrapText="1"/>
      <protection locked="0"/>
    </xf>
    <xf numFmtId="0" fontId="20" fillId="2" borderId="44" xfId="0" applyFont="1" applyFill="1" applyBorder="1" applyAlignment="1" applyProtection="1">
      <alignment horizontal="center" vertical="center" wrapText="1"/>
      <protection locked="0"/>
    </xf>
    <xf numFmtId="0" fontId="20" fillId="2" borderId="45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shrinkToFit="1"/>
      <protection locked="0"/>
    </xf>
    <xf numFmtId="0" fontId="12" fillId="7" borderId="43" xfId="0" applyFont="1" applyFill="1" applyBorder="1" applyAlignment="1" applyProtection="1">
      <alignment horizontal="center" vertical="center" wrapText="1"/>
      <protection locked="0"/>
    </xf>
    <xf numFmtId="0" fontId="12" fillId="7" borderId="44" xfId="0" applyFont="1" applyFill="1" applyBorder="1" applyAlignment="1" applyProtection="1">
      <alignment horizontal="center" vertical="center" wrapText="1"/>
      <protection locked="0"/>
    </xf>
    <xf numFmtId="0" fontId="12" fillId="7" borderId="45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shrinkToFit="1"/>
      <protection locked="0"/>
    </xf>
    <xf numFmtId="0" fontId="17" fillId="3" borderId="23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 applyProtection="1">
      <alignment horizontal="center" vertical="center" wrapText="1"/>
      <protection locked="0"/>
    </xf>
    <xf numFmtId="0" fontId="12" fillId="3" borderId="44" xfId="0" applyFont="1" applyFill="1" applyBorder="1" applyAlignment="1" applyProtection="1">
      <alignment horizontal="center" vertical="center" wrapText="1"/>
      <protection locked="0"/>
    </xf>
    <xf numFmtId="0" fontId="12" fillId="3" borderId="45" xfId="0" applyFont="1" applyFill="1" applyBorder="1" applyAlignment="1" applyProtection="1">
      <alignment horizontal="center" vertical="center" wrapText="1"/>
      <protection locked="0"/>
    </xf>
    <xf numFmtId="0" fontId="17" fillId="3" borderId="52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Fill="1" applyBorder="1" applyAlignment="1" applyProtection="1">
      <alignment horizontal="center" vertical="top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0" fontId="3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3" borderId="5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6" xfId="0" applyFont="1" applyFill="1" applyBorder="1" applyAlignment="1" applyProtection="1">
      <alignment horizontal="center" vertical="center" wrapText="1"/>
      <protection locked="0"/>
    </xf>
    <xf numFmtId="0" fontId="12" fillId="6" borderId="47" xfId="0" applyFont="1" applyFill="1" applyBorder="1" applyAlignment="1" applyProtection="1">
      <alignment horizontal="center" vertical="center" wrapText="1"/>
      <protection locked="0"/>
    </xf>
    <xf numFmtId="0" fontId="12" fillId="6" borderId="4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41" xfId="0" applyFont="1" applyFill="1" applyBorder="1" applyAlignment="1" applyProtection="1">
      <alignment horizontal="center" vertical="center" wrapText="1"/>
      <protection locked="0"/>
    </xf>
    <xf numFmtId="0" fontId="12" fillId="6" borderId="42" xfId="0" applyFont="1" applyFill="1" applyBorder="1" applyAlignment="1" applyProtection="1">
      <alignment horizontal="center" vertical="center" wrapText="1"/>
      <protection locked="0"/>
    </xf>
    <xf numFmtId="0" fontId="12" fillId="6" borderId="19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27" xfId="0" applyFont="1" applyFill="1" applyBorder="1" applyAlignment="1" applyProtection="1">
      <alignment horizontal="center" vertical="center" wrapText="1"/>
      <protection locked="0"/>
    </xf>
    <xf numFmtId="0" fontId="12" fillId="6" borderId="43" xfId="0" applyFont="1" applyFill="1" applyBorder="1" applyAlignment="1" applyProtection="1">
      <alignment horizontal="center" vertical="center" wrapText="1"/>
      <protection locked="0"/>
    </xf>
    <xf numFmtId="0" fontId="12" fillId="6" borderId="44" xfId="0" applyFont="1" applyFill="1" applyBorder="1" applyAlignment="1" applyProtection="1">
      <alignment horizontal="center" vertical="center" wrapText="1"/>
      <protection locked="0"/>
    </xf>
    <xf numFmtId="0" fontId="12" fillId="6" borderId="45" xfId="0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vertical="center" wrapText="1"/>
    </xf>
    <xf numFmtId="14" fontId="51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5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60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shrinkToFit="1"/>
    </xf>
    <xf numFmtId="0" fontId="46" fillId="6" borderId="36" xfId="0" applyFont="1" applyFill="1" applyBorder="1" applyAlignment="1">
      <alignment horizontal="center"/>
    </xf>
    <xf numFmtId="0" fontId="46" fillId="6" borderId="37" xfId="0" applyFont="1" applyFill="1" applyBorder="1" applyAlignment="1">
      <alignment horizontal="center"/>
    </xf>
    <xf numFmtId="0" fontId="46" fillId="6" borderId="38" xfId="0" applyFont="1" applyFill="1" applyBorder="1" applyAlignment="1">
      <alignment horizontal="center"/>
    </xf>
    <xf numFmtId="0" fontId="50" fillId="0" borderId="1" xfId="0" applyFont="1" applyFill="1" applyBorder="1" applyAlignment="1" applyProtection="1">
      <alignment horizontal="left" vertical="center" wrapText="1"/>
      <protection locked="0"/>
    </xf>
    <xf numFmtId="0" fontId="46" fillId="6" borderId="40" xfId="0" applyFont="1" applyFill="1" applyBorder="1" applyAlignment="1">
      <alignment horizontal="center"/>
    </xf>
    <xf numFmtId="0" fontId="46" fillId="6" borderId="41" xfId="0" applyFont="1" applyFill="1" applyBorder="1" applyAlignment="1">
      <alignment horizontal="center"/>
    </xf>
    <xf numFmtId="0" fontId="46" fillId="6" borderId="42" xfId="0" applyFont="1" applyFill="1" applyBorder="1" applyAlignment="1">
      <alignment horizontal="center"/>
    </xf>
    <xf numFmtId="0" fontId="46" fillId="6" borderId="46" xfId="0" applyFont="1" applyFill="1" applyBorder="1" applyAlignment="1">
      <alignment horizontal="center"/>
    </xf>
    <xf numFmtId="0" fontId="46" fillId="6" borderId="47" xfId="0" applyFont="1" applyFill="1" applyBorder="1" applyAlignment="1">
      <alignment horizontal="center"/>
    </xf>
    <xf numFmtId="0" fontId="46" fillId="6" borderId="48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39" fillId="0" borderId="1" xfId="3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32" fillId="0" borderId="1" xfId="3" applyFont="1" applyBorder="1" applyAlignment="1">
      <alignment horizontal="center" vertical="center"/>
    </xf>
    <xf numFmtId="0" fontId="11" fillId="0" borderId="2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0" fillId="9" borderId="16" xfId="0" applyFont="1" applyFill="1" applyBorder="1" applyAlignment="1" applyProtection="1">
      <alignment horizontal="center" vertical="center" wrapText="1"/>
      <protection locked="0"/>
    </xf>
    <xf numFmtId="0" fontId="20" fillId="9" borderId="4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12" fillId="9" borderId="22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9" borderId="21" xfId="0" applyFont="1" applyFill="1" applyBorder="1" applyAlignment="1" applyProtection="1">
      <alignment horizontal="center" vertical="center" wrapText="1"/>
      <protection locked="0"/>
    </xf>
  </cellXfs>
  <cellStyles count="9">
    <cellStyle name="Гиперссылка" xfId="1" builtinId="8"/>
    <cellStyle name="Обычный" xfId="0" builtinId="0"/>
    <cellStyle name="Обычный 105" xfId="8"/>
    <cellStyle name="Обычный 13" xfId="2"/>
    <cellStyle name="Обычный 13 2" xfId="4"/>
    <cellStyle name="Обычный 2" xfId="6"/>
    <cellStyle name="常规 4 8 4" xfId="7"/>
    <cellStyle name="常规_09 Quotation sheet for Unicomp" xfId="5"/>
    <cellStyle name="常规_PI2009000006002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57946</xdr:colOff>
      <xdr:row>0</xdr:row>
      <xdr:rowOff>62705</xdr:rowOff>
    </xdr:from>
    <xdr:to>
      <xdr:col>1</xdr:col>
      <xdr:colOff>428249</xdr:colOff>
      <xdr:row>2</xdr:row>
      <xdr:rowOff>130456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46" y="62705"/>
          <a:ext cx="772258" cy="589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57946</xdr:colOff>
      <xdr:row>0</xdr:row>
      <xdr:rowOff>62705</xdr:rowOff>
    </xdr:from>
    <xdr:to>
      <xdr:col>1</xdr:col>
      <xdr:colOff>428249</xdr:colOff>
      <xdr:row>2</xdr:row>
      <xdr:rowOff>130456</xdr:rowOff>
    </xdr:to>
    <xdr:pic>
      <xdr:nvPicPr>
        <xdr:cNvPr id="4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46" y="62705"/>
          <a:ext cx="772258" cy="589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74400</xdr:rowOff>
    </xdr:from>
    <xdr:to>
      <xdr:col>1</xdr:col>
      <xdr:colOff>914400</xdr:colOff>
      <xdr:row>2</xdr:row>
      <xdr:rowOff>122223</xdr:rowOff>
    </xdr:to>
    <xdr:pic>
      <xdr:nvPicPr>
        <xdr:cNvPr id="2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4400"/>
          <a:ext cx="990600" cy="78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74400</xdr:rowOff>
    </xdr:from>
    <xdr:to>
      <xdr:col>1</xdr:col>
      <xdr:colOff>914400</xdr:colOff>
      <xdr:row>2</xdr:row>
      <xdr:rowOff>122223</xdr:rowOff>
    </xdr:to>
    <xdr:pic>
      <xdr:nvPicPr>
        <xdr:cNvPr id="2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4400"/>
          <a:ext cx="990600" cy="78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46891</xdr:colOff>
      <xdr:row>0</xdr:row>
      <xdr:rowOff>17585</xdr:rowOff>
    </xdr:from>
    <xdr:to>
      <xdr:col>0</xdr:col>
      <xdr:colOff>607695</xdr:colOff>
      <xdr:row>1</xdr:row>
      <xdr:rowOff>131445</xdr:rowOff>
    </xdr:to>
    <xdr:pic>
      <xdr:nvPicPr>
        <xdr:cNvPr id="2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91" y="17585"/>
          <a:ext cx="819884" cy="62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288073</xdr:colOff>
      <xdr:row>0</xdr:row>
      <xdr:rowOff>104774</xdr:rowOff>
    </xdr:from>
    <xdr:to>
      <xdr:col>1</xdr:col>
      <xdr:colOff>638175</xdr:colOff>
      <xdr:row>4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073" y="104774"/>
          <a:ext cx="959702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macom.info%20%20E-mail:almacom@inbox,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macom.info%20%20E-mail:almacom@inbox,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lmacom.info%20%20E-mail:almacom@inbox,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3"/>
  <sheetViews>
    <sheetView tabSelected="1" showWhiteSpace="0" view="pageBreakPreview" zoomScaleSheetLayoutView="100" zoomScalePageLayoutView="90" workbookViewId="0">
      <selection activeCell="M7" sqref="M7"/>
    </sheetView>
  </sheetViews>
  <sheetFormatPr defaultColWidth="9.28515625" defaultRowHeight="12.75"/>
  <cols>
    <col min="1" max="1" width="6" style="3" customWidth="1"/>
    <col min="2" max="2" width="25.5703125" style="3" customWidth="1"/>
    <col min="3" max="3" width="10.28515625" style="117" customWidth="1"/>
    <col min="4" max="4" width="42" style="3" customWidth="1"/>
    <col min="5" max="5" width="10.7109375" style="32" customWidth="1"/>
    <col min="6" max="6" width="11.42578125" style="429" bestFit="1" customWidth="1"/>
    <col min="7" max="7" width="9.85546875" style="429" hidden="1" customWidth="1"/>
    <col min="8" max="8" width="15.140625" style="122" customWidth="1"/>
    <col min="9" max="9" width="10.140625" style="3" bestFit="1" customWidth="1"/>
    <col min="10" max="10" width="11" style="3" bestFit="1" customWidth="1"/>
    <col min="11" max="11" width="10.5703125" style="3" bestFit="1" customWidth="1"/>
    <col min="12" max="16384" width="9.28515625" style="3"/>
  </cols>
  <sheetData>
    <row r="1" spans="1:11" ht="22.15" customHeight="1">
      <c r="A1" s="539" t="s">
        <v>105</v>
      </c>
      <c r="B1" s="539"/>
      <c r="C1" s="539"/>
      <c r="D1" s="539"/>
      <c r="E1" s="539"/>
      <c r="F1" s="539"/>
      <c r="G1" s="539"/>
      <c r="H1" s="30" t="s">
        <v>865</v>
      </c>
    </row>
    <row r="2" spans="1:11" ht="18.75" customHeight="1">
      <c r="A2" s="543" t="s">
        <v>681</v>
      </c>
      <c r="B2" s="543"/>
      <c r="C2" s="543"/>
      <c r="D2" s="543"/>
      <c r="E2" s="543"/>
      <c r="F2" s="543"/>
      <c r="G2" s="543"/>
      <c r="H2" s="543"/>
      <c r="I2" s="299"/>
    </row>
    <row r="3" spans="1:11" ht="14.25" thickBot="1">
      <c r="A3" s="543" t="s">
        <v>666</v>
      </c>
      <c r="B3" s="543"/>
      <c r="C3" s="543"/>
      <c r="D3" s="543"/>
      <c r="E3" s="543"/>
      <c r="F3" s="543"/>
      <c r="G3" s="543"/>
      <c r="H3" s="300">
        <v>370</v>
      </c>
    </row>
    <row r="4" spans="1:11" ht="39.6" customHeight="1" thickBot="1">
      <c r="A4" s="540" t="s">
        <v>2</v>
      </c>
      <c r="B4" s="541"/>
      <c r="C4" s="542" t="s">
        <v>0</v>
      </c>
      <c r="D4" s="541"/>
      <c r="E4" s="244" t="s">
        <v>5</v>
      </c>
      <c r="F4" s="244" t="s">
        <v>873</v>
      </c>
      <c r="G4" s="244" t="s">
        <v>316</v>
      </c>
      <c r="H4" s="245" t="s">
        <v>315</v>
      </c>
    </row>
    <row r="5" spans="1:11" ht="39.6" customHeight="1" thickBot="1">
      <c r="A5" s="549" t="s">
        <v>739</v>
      </c>
      <c r="B5" s="550"/>
      <c r="C5" s="550"/>
      <c r="D5" s="550"/>
      <c r="E5" s="550"/>
      <c r="F5" s="550"/>
      <c r="G5" s="550"/>
      <c r="H5" s="551"/>
    </row>
    <row r="6" spans="1:11" ht="61.5" customHeight="1">
      <c r="A6" s="427" t="s">
        <v>829</v>
      </c>
      <c r="B6" s="425" t="s">
        <v>474</v>
      </c>
      <c r="C6" s="359" t="s">
        <v>473</v>
      </c>
      <c r="D6" s="359" t="s">
        <v>602</v>
      </c>
      <c r="E6" s="359" t="s">
        <v>1</v>
      </c>
      <c r="F6" s="360">
        <v>84886</v>
      </c>
      <c r="G6" s="360">
        <v>74385</v>
      </c>
      <c r="H6" s="357" t="s">
        <v>827</v>
      </c>
    </row>
    <row r="7" spans="1:11" ht="18" customHeight="1" thickBot="1">
      <c r="A7" s="530" t="s">
        <v>667</v>
      </c>
      <c r="B7" s="544"/>
      <c r="C7" s="544"/>
      <c r="D7" s="544"/>
      <c r="E7" s="544"/>
      <c r="F7" s="544"/>
      <c r="G7" s="544"/>
      <c r="H7" s="545"/>
    </row>
    <row r="8" spans="1:11" ht="18" customHeight="1">
      <c r="A8" s="528" t="s">
        <v>831</v>
      </c>
      <c r="B8" s="422" t="s">
        <v>366</v>
      </c>
      <c r="C8" s="220" t="s">
        <v>307</v>
      </c>
      <c r="D8" s="482" t="s">
        <v>603</v>
      </c>
      <c r="E8" s="220" t="s">
        <v>1</v>
      </c>
      <c r="F8" s="236">
        <f>G8*1.25</f>
        <v>87875</v>
      </c>
      <c r="G8" s="236">
        <v>70300</v>
      </c>
      <c r="H8" s="271"/>
      <c r="I8" s="212"/>
      <c r="K8" s="259"/>
    </row>
    <row r="9" spans="1:11" ht="18" customHeight="1">
      <c r="A9" s="499"/>
      <c r="B9" s="414" t="s">
        <v>367</v>
      </c>
      <c r="C9" s="120" t="s">
        <v>311</v>
      </c>
      <c r="D9" s="483"/>
      <c r="E9" s="120" t="s">
        <v>1</v>
      </c>
      <c r="F9" s="236">
        <f>G9*1.25</f>
        <v>104525</v>
      </c>
      <c r="G9" s="119">
        <v>83620</v>
      </c>
      <c r="H9" s="272"/>
      <c r="I9" s="212"/>
      <c r="K9" s="259"/>
    </row>
    <row r="10" spans="1:11" ht="18" customHeight="1">
      <c r="A10" s="499"/>
      <c r="B10" s="414" t="s">
        <v>368</v>
      </c>
      <c r="C10" s="120" t="s">
        <v>308</v>
      </c>
      <c r="D10" s="483"/>
      <c r="E10" s="120" t="s">
        <v>1</v>
      </c>
      <c r="F10" s="236">
        <f>G10*1.25</f>
        <v>123025</v>
      </c>
      <c r="G10" s="119">
        <v>98420</v>
      </c>
      <c r="H10" s="272"/>
      <c r="I10" s="212"/>
      <c r="K10" s="259"/>
    </row>
    <row r="11" spans="1:11" ht="18" customHeight="1">
      <c r="A11" s="499"/>
      <c r="B11" s="414" t="s">
        <v>369</v>
      </c>
      <c r="C11" s="120" t="s">
        <v>309</v>
      </c>
      <c r="D11" s="483"/>
      <c r="E11" s="120" t="s">
        <v>1</v>
      </c>
      <c r="F11" s="236">
        <f>G11*1.25</f>
        <v>172975</v>
      </c>
      <c r="G11" s="119">
        <v>138380</v>
      </c>
      <c r="H11" s="272"/>
      <c r="I11" s="212"/>
      <c r="K11" s="259"/>
    </row>
    <row r="12" spans="1:11" ht="18" customHeight="1" thickBot="1">
      <c r="A12" s="499"/>
      <c r="B12" s="414" t="s">
        <v>370</v>
      </c>
      <c r="C12" s="120" t="s">
        <v>310</v>
      </c>
      <c r="D12" s="483"/>
      <c r="E12" s="120" t="s">
        <v>1</v>
      </c>
      <c r="F12" s="236">
        <f>G12*1.25</f>
        <v>230325</v>
      </c>
      <c r="G12" s="119">
        <v>184260</v>
      </c>
      <c r="H12" s="272"/>
      <c r="I12" s="212"/>
      <c r="K12" s="259"/>
    </row>
    <row r="13" spans="1:11" ht="18" customHeight="1" thickBot="1">
      <c r="A13" s="546" t="s">
        <v>680</v>
      </c>
      <c r="B13" s="547"/>
      <c r="C13" s="547"/>
      <c r="D13" s="547"/>
      <c r="E13" s="547"/>
      <c r="F13" s="547"/>
      <c r="G13" s="547"/>
      <c r="H13" s="548"/>
      <c r="I13" s="212"/>
      <c r="K13" s="259"/>
    </row>
    <row r="14" spans="1:11" ht="18" customHeight="1">
      <c r="A14" s="519" t="s">
        <v>832</v>
      </c>
      <c r="B14" s="422" t="s">
        <v>624</v>
      </c>
      <c r="C14" s="220" t="s">
        <v>307</v>
      </c>
      <c r="D14" s="482" t="s">
        <v>603</v>
      </c>
      <c r="E14" s="220" t="s">
        <v>1</v>
      </c>
      <c r="F14" s="119">
        <f>G14*1.25</f>
        <v>89632.5</v>
      </c>
      <c r="G14" s="119">
        <v>71706</v>
      </c>
      <c r="H14" s="272"/>
      <c r="I14" s="212"/>
      <c r="K14" s="259"/>
    </row>
    <row r="15" spans="1:11" ht="18" customHeight="1">
      <c r="A15" s="481"/>
      <c r="B15" s="422" t="s">
        <v>625</v>
      </c>
      <c r="C15" s="120" t="s">
        <v>311</v>
      </c>
      <c r="D15" s="483"/>
      <c r="E15" s="220" t="s">
        <v>1</v>
      </c>
      <c r="F15" s="119">
        <f>G15*1.25</f>
        <v>106615</v>
      </c>
      <c r="G15" s="119">
        <v>85292</v>
      </c>
      <c r="H15" s="272"/>
      <c r="I15" s="212"/>
      <c r="K15" s="259"/>
    </row>
    <row r="16" spans="1:11" ht="18" customHeight="1">
      <c r="A16" s="481"/>
      <c r="B16" s="422" t="s">
        <v>626</v>
      </c>
      <c r="C16" s="120" t="s">
        <v>308</v>
      </c>
      <c r="D16" s="483"/>
      <c r="E16" s="220" t="s">
        <v>1</v>
      </c>
      <c r="F16" s="119">
        <f>G16*1.25</f>
        <v>125485</v>
      </c>
      <c r="G16" s="119">
        <v>100388</v>
      </c>
      <c r="H16" s="272"/>
      <c r="I16" s="212"/>
      <c r="K16" s="259"/>
    </row>
    <row r="17" spans="1:11" ht="18" customHeight="1">
      <c r="A17" s="481"/>
      <c r="B17" s="422" t="s">
        <v>627</v>
      </c>
      <c r="C17" s="120" t="s">
        <v>309</v>
      </c>
      <c r="D17" s="483"/>
      <c r="E17" s="220" t="s">
        <v>1</v>
      </c>
      <c r="F17" s="119">
        <f>G17*1.25</f>
        <v>176435</v>
      </c>
      <c r="G17" s="119">
        <v>141148</v>
      </c>
      <c r="H17" s="272"/>
      <c r="I17" s="212"/>
      <c r="K17" s="259"/>
    </row>
    <row r="18" spans="1:11" ht="18" customHeight="1" thickBot="1">
      <c r="A18" s="520"/>
      <c r="B18" s="422" t="s">
        <v>628</v>
      </c>
      <c r="C18" s="120" t="s">
        <v>310</v>
      </c>
      <c r="D18" s="483"/>
      <c r="E18" s="220" t="s">
        <v>1</v>
      </c>
      <c r="F18" s="119">
        <f>G18*1.25</f>
        <v>234931.25</v>
      </c>
      <c r="G18" s="119">
        <v>187945</v>
      </c>
      <c r="H18" s="272"/>
      <c r="I18" s="212"/>
      <c r="K18" s="259"/>
    </row>
    <row r="19" spans="1:11" ht="18" customHeight="1" thickBot="1">
      <c r="A19" s="546" t="s">
        <v>668</v>
      </c>
      <c r="B19" s="547"/>
      <c r="C19" s="547"/>
      <c r="D19" s="547"/>
      <c r="E19" s="547"/>
      <c r="F19" s="547"/>
      <c r="G19" s="547"/>
      <c r="H19" s="548"/>
      <c r="I19" s="212"/>
      <c r="K19" s="259"/>
    </row>
    <row r="20" spans="1:11" ht="16.899999999999999" customHeight="1">
      <c r="A20" s="519" t="s">
        <v>833</v>
      </c>
      <c r="B20" s="422" t="s">
        <v>629</v>
      </c>
      <c r="C20" s="220" t="s">
        <v>307</v>
      </c>
      <c r="D20" s="482" t="s">
        <v>634</v>
      </c>
      <c r="E20" s="220" t="s">
        <v>1</v>
      </c>
      <c r="F20" s="119">
        <f>G20*1.25</f>
        <v>84637.5</v>
      </c>
      <c r="G20" s="119">
        <v>67710</v>
      </c>
      <c r="H20" s="272"/>
      <c r="I20" s="212"/>
      <c r="K20" s="259"/>
    </row>
    <row r="21" spans="1:11" ht="16.899999999999999" customHeight="1">
      <c r="A21" s="481"/>
      <c r="B21" s="422" t="s">
        <v>630</v>
      </c>
      <c r="C21" s="120" t="s">
        <v>311</v>
      </c>
      <c r="D21" s="483"/>
      <c r="E21" s="220" t="s">
        <v>1</v>
      </c>
      <c r="F21" s="119">
        <f>G21*1.25</f>
        <v>100825</v>
      </c>
      <c r="G21" s="119">
        <v>80660</v>
      </c>
      <c r="H21" s="272"/>
      <c r="I21" s="212"/>
      <c r="K21" s="259"/>
    </row>
    <row r="22" spans="1:11" ht="16.899999999999999" customHeight="1">
      <c r="A22" s="481"/>
      <c r="B22" s="422" t="s">
        <v>631</v>
      </c>
      <c r="C22" s="120" t="s">
        <v>308</v>
      </c>
      <c r="D22" s="483"/>
      <c r="E22" s="220" t="s">
        <v>1</v>
      </c>
      <c r="F22" s="119">
        <f>G22*1.25</f>
        <v>118400</v>
      </c>
      <c r="G22" s="119">
        <v>94720</v>
      </c>
      <c r="H22" s="272"/>
      <c r="I22" s="212"/>
      <c r="K22" s="259"/>
    </row>
    <row r="23" spans="1:11" ht="16.899999999999999" customHeight="1">
      <c r="A23" s="481"/>
      <c r="B23" s="422" t="s">
        <v>632</v>
      </c>
      <c r="C23" s="120" t="s">
        <v>309</v>
      </c>
      <c r="D23" s="483"/>
      <c r="E23" s="220" t="s">
        <v>1</v>
      </c>
      <c r="F23" s="119">
        <f>G23*1.25</f>
        <v>165575</v>
      </c>
      <c r="G23" s="119">
        <v>132460</v>
      </c>
      <c r="H23" s="272"/>
      <c r="I23" s="212"/>
      <c r="K23" s="259"/>
    </row>
    <row r="24" spans="1:11" ht="16.899999999999999" customHeight="1" thickBot="1">
      <c r="A24" s="520"/>
      <c r="B24" s="422" t="s">
        <v>633</v>
      </c>
      <c r="C24" s="120" t="s">
        <v>310</v>
      </c>
      <c r="D24" s="484"/>
      <c r="E24" s="220" t="s">
        <v>1</v>
      </c>
      <c r="F24" s="119">
        <f>G24*1.25</f>
        <v>221075</v>
      </c>
      <c r="G24" s="119">
        <v>176860</v>
      </c>
      <c r="H24" s="272"/>
      <c r="I24" s="212"/>
      <c r="K24" s="259"/>
    </row>
    <row r="25" spans="1:11" ht="16.899999999999999" customHeight="1" thickBot="1">
      <c r="A25" s="552" t="s">
        <v>737</v>
      </c>
      <c r="B25" s="553"/>
      <c r="C25" s="553"/>
      <c r="D25" s="553"/>
      <c r="E25" s="553"/>
      <c r="F25" s="553"/>
      <c r="G25" s="553"/>
      <c r="H25" s="554"/>
      <c r="K25" s="259"/>
    </row>
    <row r="26" spans="1:11" ht="16.899999999999999" customHeight="1">
      <c r="A26" s="519" t="s">
        <v>830</v>
      </c>
      <c r="B26" s="416" t="s">
        <v>670</v>
      </c>
      <c r="C26" s="268" t="s">
        <v>307</v>
      </c>
      <c r="D26" s="529" t="s">
        <v>612</v>
      </c>
      <c r="E26" s="268" t="s">
        <v>1</v>
      </c>
      <c r="F26" s="216">
        <f>G26*1.25</f>
        <v>89632.5</v>
      </c>
      <c r="G26" s="119">
        <v>71706</v>
      </c>
      <c r="H26" s="321"/>
      <c r="I26" s="212"/>
      <c r="K26" s="259"/>
    </row>
    <row r="27" spans="1:11" ht="16.899999999999999" customHeight="1">
      <c r="A27" s="481"/>
      <c r="B27" s="422" t="s">
        <v>669</v>
      </c>
      <c r="C27" s="320" t="s">
        <v>311</v>
      </c>
      <c r="D27" s="517"/>
      <c r="E27" s="320" t="s">
        <v>1</v>
      </c>
      <c r="F27" s="150">
        <f>G27*1.25</f>
        <v>106615</v>
      </c>
      <c r="G27" s="119">
        <v>85292</v>
      </c>
      <c r="H27" s="222"/>
      <c r="I27" s="212"/>
      <c r="K27" s="259"/>
    </row>
    <row r="28" spans="1:11" ht="16.899999999999999" customHeight="1">
      <c r="A28" s="481"/>
      <c r="B28" s="422" t="s">
        <v>671</v>
      </c>
      <c r="C28" s="320" t="s">
        <v>308</v>
      </c>
      <c r="D28" s="517"/>
      <c r="E28" s="320" t="s">
        <v>1</v>
      </c>
      <c r="F28" s="150">
        <f>G28*1.25</f>
        <v>125485</v>
      </c>
      <c r="G28" s="119">
        <v>100388</v>
      </c>
      <c r="H28" s="222"/>
      <c r="I28" s="212"/>
      <c r="K28" s="259"/>
    </row>
    <row r="29" spans="1:11" ht="16.899999999999999" customHeight="1">
      <c r="A29" s="481"/>
      <c r="B29" s="422" t="s">
        <v>672</v>
      </c>
      <c r="C29" s="319" t="s">
        <v>309</v>
      </c>
      <c r="D29" s="517"/>
      <c r="E29" s="320" t="s">
        <v>1</v>
      </c>
      <c r="F29" s="150">
        <f>G29*1.25</f>
        <v>176435</v>
      </c>
      <c r="G29" s="119">
        <v>141148</v>
      </c>
      <c r="H29" s="222"/>
      <c r="I29" s="212"/>
      <c r="K29" s="259"/>
    </row>
    <row r="30" spans="1:11" ht="16.899999999999999" customHeight="1">
      <c r="A30" s="520"/>
      <c r="B30" s="422" t="s">
        <v>673</v>
      </c>
      <c r="C30" s="319" t="s">
        <v>310</v>
      </c>
      <c r="D30" s="518"/>
      <c r="E30" s="320" t="s">
        <v>1</v>
      </c>
      <c r="F30" s="150">
        <f>G30*1.25</f>
        <v>234931.25</v>
      </c>
      <c r="G30" s="119">
        <v>187945</v>
      </c>
      <c r="H30" s="222"/>
      <c r="I30" s="212"/>
      <c r="K30" s="259"/>
    </row>
    <row r="31" spans="1:11" ht="16.899999999999999" customHeight="1" thickBot="1">
      <c r="A31" s="530" t="s">
        <v>674</v>
      </c>
      <c r="B31" s="531"/>
      <c r="C31" s="531"/>
      <c r="D31" s="531"/>
      <c r="E31" s="531"/>
      <c r="F31" s="531"/>
      <c r="G31" s="531"/>
      <c r="H31" s="532"/>
      <c r="K31" s="259"/>
    </row>
    <row r="32" spans="1:11" ht="17.25" customHeight="1">
      <c r="A32" s="481" t="s">
        <v>834</v>
      </c>
      <c r="B32" s="422" t="s">
        <v>361</v>
      </c>
      <c r="C32" s="219" t="s">
        <v>311</v>
      </c>
      <c r="D32" s="517" t="s">
        <v>365</v>
      </c>
      <c r="E32" s="219" t="s">
        <v>1</v>
      </c>
      <c r="F32" s="150">
        <f>G32*1.25</f>
        <v>135050</v>
      </c>
      <c r="G32" s="150">
        <v>108040</v>
      </c>
      <c r="H32" s="222"/>
      <c r="I32" s="212"/>
      <c r="K32" s="259"/>
    </row>
    <row r="33" spans="1:11" ht="17.25" customHeight="1">
      <c r="A33" s="481"/>
      <c r="B33" s="414" t="s">
        <v>362</v>
      </c>
      <c r="C33" s="186" t="s">
        <v>308</v>
      </c>
      <c r="D33" s="517"/>
      <c r="E33" s="186" t="s">
        <v>1</v>
      </c>
      <c r="F33" s="150">
        <f>G33*1.25</f>
        <v>156787.5</v>
      </c>
      <c r="G33" s="35">
        <v>125430</v>
      </c>
      <c r="H33" s="198"/>
      <c r="I33" s="212"/>
      <c r="K33" s="259"/>
    </row>
    <row r="34" spans="1:11" ht="17.25" customHeight="1">
      <c r="A34" s="481"/>
      <c r="B34" s="414" t="s">
        <v>363</v>
      </c>
      <c r="C34" s="186" t="s">
        <v>313</v>
      </c>
      <c r="D34" s="517"/>
      <c r="E34" s="186" t="s">
        <v>1</v>
      </c>
      <c r="F34" s="150">
        <f>G34*1.25</f>
        <v>228012.5</v>
      </c>
      <c r="G34" s="35">
        <v>182410</v>
      </c>
      <c r="H34" s="198"/>
      <c r="I34" s="212"/>
      <c r="K34" s="259"/>
    </row>
    <row r="35" spans="1:11" ht="17.25" customHeight="1" thickBot="1">
      <c r="A35" s="481"/>
      <c r="B35" s="418" t="s">
        <v>364</v>
      </c>
      <c r="C35" s="214" t="s">
        <v>310</v>
      </c>
      <c r="D35" s="517"/>
      <c r="E35" s="214" t="s">
        <v>1</v>
      </c>
      <c r="F35" s="150">
        <f>G35*1.25</f>
        <v>311262.5</v>
      </c>
      <c r="G35" s="141">
        <v>249010</v>
      </c>
      <c r="H35" s="215"/>
      <c r="I35" s="212"/>
      <c r="K35" s="259"/>
    </row>
    <row r="36" spans="1:11" ht="17.25" customHeight="1" thickBot="1">
      <c r="A36" s="478" t="s">
        <v>676</v>
      </c>
      <c r="B36" s="495"/>
      <c r="C36" s="495"/>
      <c r="D36" s="495"/>
      <c r="E36" s="495"/>
      <c r="F36" s="495"/>
      <c r="G36" s="495"/>
      <c r="H36" s="496"/>
      <c r="I36" s="212"/>
      <c r="K36" s="259"/>
    </row>
    <row r="37" spans="1:11" ht="17.25" customHeight="1">
      <c r="A37" s="498" t="s">
        <v>835</v>
      </c>
      <c r="B37" s="416" t="s">
        <v>652</v>
      </c>
      <c r="C37" s="273" t="s">
        <v>311</v>
      </c>
      <c r="D37" s="497" t="s">
        <v>365</v>
      </c>
      <c r="E37" s="273" t="s">
        <v>1</v>
      </c>
      <c r="F37" s="274">
        <f>G37*1.25</f>
        <v>144706.25</v>
      </c>
      <c r="G37" s="274">
        <v>115765</v>
      </c>
      <c r="H37" s="282" t="s">
        <v>287</v>
      </c>
      <c r="I37" s="212"/>
      <c r="K37" s="259"/>
    </row>
    <row r="38" spans="1:11" ht="17.25" customHeight="1">
      <c r="A38" s="499"/>
      <c r="B38" s="414" t="s">
        <v>653</v>
      </c>
      <c r="C38" s="285" t="s">
        <v>308</v>
      </c>
      <c r="D38" s="483"/>
      <c r="E38" s="285" t="s">
        <v>1</v>
      </c>
      <c r="F38" s="119">
        <f>G38*1.25</f>
        <v>168172.5</v>
      </c>
      <c r="G38" s="119">
        <v>134538</v>
      </c>
      <c r="H38" s="283" t="s">
        <v>287</v>
      </c>
      <c r="I38" s="212"/>
      <c r="K38" s="259"/>
    </row>
    <row r="39" spans="1:11" ht="17.25" customHeight="1">
      <c r="A39" s="499"/>
      <c r="B39" s="414" t="s">
        <v>654</v>
      </c>
      <c r="C39" s="285" t="s">
        <v>313</v>
      </c>
      <c r="D39" s="483"/>
      <c r="E39" s="285" t="s">
        <v>1</v>
      </c>
      <c r="F39" s="119">
        <f>G39*1.25</f>
        <v>244290</v>
      </c>
      <c r="G39" s="119">
        <v>195432</v>
      </c>
      <c r="H39" s="283"/>
      <c r="I39" s="212"/>
      <c r="K39" s="259"/>
    </row>
    <row r="40" spans="1:11" ht="17.25" customHeight="1" thickBot="1">
      <c r="A40" s="500"/>
      <c r="B40" s="420" t="s">
        <v>655</v>
      </c>
      <c r="C40" s="286" t="s">
        <v>310</v>
      </c>
      <c r="D40" s="484"/>
      <c r="E40" s="286" t="s">
        <v>1</v>
      </c>
      <c r="F40" s="278">
        <f>G40*1.25</f>
        <v>333517.5</v>
      </c>
      <c r="G40" s="278">
        <v>266814</v>
      </c>
      <c r="H40" s="284"/>
      <c r="I40" s="212"/>
      <c r="K40" s="259"/>
    </row>
    <row r="41" spans="1:11" ht="17.25" customHeight="1" thickBot="1">
      <c r="A41" s="507" t="s">
        <v>675</v>
      </c>
      <c r="B41" s="508"/>
      <c r="C41" s="508"/>
      <c r="D41" s="508"/>
      <c r="E41" s="508"/>
      <c r="F41" s="508"/>
      <c r="G41" s="508"/>
      <c r="H41" s="509"/>
      <c r="I41" s="212"/>
      <c r="K41" s="259"/>
    </row>
    <row r="42" spans="1:11" ht="45.75" customHeight="1">
      <c r="A42" s="528" t="s">
        <v>836</v>
      </c>
      <c r="B42" s="422" t="s">
        <v>570</v>
      </c>
      <c r="C42" s="270" t="s">
        <v>308</v>
      </c>
      <c r="D42" s="518" t="s">
        <v>572</v>
      </c>
      <c r="E42" s="270" t="s">
        <v>1</v>
      </c>
      <c r="F42" s="150">
        <f>G42*1.25</f>
        <v>167762.5</v>
      </c>
      <c r="G42" s="150">
        <v>134210</v>
      </c>
      <c r="H42" s="225"/>
      <c r="I42" s="212"/>
      <c r="K42" s="259"/>
    </row>
    <row r="43" spans="1:11" ht="45.75" customHeight="1" thickBot="1">
      <c r="A43" s="500"/>
      <c r="B43" s="358" t="s">
        <v>571</v>
      </c>
      <c r="C43" s="267" t="s">
        <v>573</v>
      </c>
      <c r="D43" s="503"/>
      <c r="E43" s="267" t="s">
        <v>1</v>
      </c>
      <c r="F43" s="217">
        <f>G43*1.25</f>
        <v>172466.25</v>
      </c>
      <c r="G43" s="217">
        <v>137973</v>
      </c>
      <c r="H43" s="218"/>
      <c r="I43" s="212"/>
      <c r="K43" s="259"/>
    </row>
    <row r="44" spans="1:11" s="428" customFormat="1" ht="15" customHeight="1" thickBot="1">
      <c r="A44" s="478" t="s">
        <v>677</v>
      </c>
      <c r="B44" s="479"/>
      <c r="C44" s="479"/>
      <c r="D44" s="479"/>
      <c r="E44" s="479"/>
      <c r="F44" s="479"/>
      <c r="G44" s="479"/>
      <c r="H44" s="480"/>
      <c r="K44" s="430"/>
    </row>
    <row r="45" spans="1:11" ht="24" customHeight="1">
      <c r="A45" s="501"/>
      <c r="B45" s="435" t="s">
        <v>656</v>
      </c>
      <c r="C45" s="436" t="s">
        <v>307</v>
      </c>
      <c r="D45" s="490" t="s">
        <v>658</v>
      </c>
      <c r="E45" s="436" t="s">
        <v>1</v>
      </c>
      <c r="F45" s="216">
        <f>G45*1.25</f>
        <v>102212.5</v>
      </c>
      <c r="G45" s="216">
        <v>81770</v>
      </c>
      <c r="H45" s="321" t="s">
        <v>793</v>
      </c>
      <c r="K45" s="259"/>
    </row>
    <row r="46" spans="1:11" ht="24" customHeight="1" thickBot="1">
      <c r="A46" s="502"/>
      <c r="B46" s="433" t="s">
        <v>657</v>
      </c>
      <c r="C46" s="434" t="s">
        <v>311</v>
      </c>
      <c r="D46" s="503"/>
      <c r="E46" s="434" t="s">
        <v>1</v>
      </c>
      <c r="F46" s="217">
        <f>G46*1.25</f>
        <v>110075</v>
      </c>
      <c r="G46" s="217">
        <v>88060</v>
      </c>
      <c r="H46" s="426" t="s">
        <v>793</v>
      </c>
      <c r="K46" s="259"/>
    </row>
    <row r="47" spans="1:11" ht="24" customHeight="1">
      <c r="A47" s="533"/>
      <c r="B47" s="443" t="s">
        <v>798</v>
      </c>
      <c r="C47" s="380" t="s">
        <v>307</v>
      </c>
      <c r="D47" s="537" t="s">
        <v>799</v>
      </c>
      <c r="E47" s="380" t="s">
        <v>1</v>
      </c>
      <c r="F47" s="381">
        <f>G47*1.25</f>
        <v>111000</v>
      </c>
      <c r="G47" s="381">
        <v>88800</v>
      </c>
      <c r="H47" s="444"/>
      <c r="K47" s="259"/>
    </row>
    <row r="48" spans="1:11" ht="21" customHeight="1" thickBot="1">
      <c r="A48" s="488"/>
      <c r="B48" s="358" t="s">
        <v>585</v>
      </c>
      <c r="C48" s="363" t="s">
        <v>586</v>
      </c>
      <c r="D48" s="538"/>
      <c r="E48" s="363" t="s">
        <v>1</v>
      </c>
      <c r="F48" s="364">
        <f>G48*1.25</f>
        <v>124412.5</v>
      </c>
      <c r="G48" s="364">
        <v>99530</v>
      </c>
      <c r="H48" s="398"/>
      <c r="I48" s="212"/>
      <c r="K48" s="259"/>
    </row>
    <row r="49" spans="1:11" s="428" customFormat="1" ht="15" customHeight="1" thickBot="1">
      <c r="A49" s="534" t="s">
        <v>678</v>
      </c>
      <c r="B49" s="535"/>
      <c r="C49" s="535"/>
      <c r="D49" s="535"/>
      <c r="E49" s="535"/>
      <c r="F49" s="535"/>
      <c r="G49" s="535"/>
      <c r="H49" s="536"/>
      <c r="K49" s="430"/>
    </row>
    <row r="50" spans="1:11" ht="16.899999999999999" customHeight="1">
      <c r="A50" s="521" t="s">
        <v>837</v>
      </c>
      <c r="B50" s="415" t="s">
        <v>172</v>
      </c>
      <c r="C50" s="273" t="s">
        <v>576</v>
      </c>
      <c r="D50" s="492" t="s">
        <v>661</v>
      </c>
      <c r="E50" s="273" t="s">
        <v>1</v>
      </c>
      <c r="F50" s="274">
        <f>G50*1.25</f>
        <v>75915</v>
      </c>
      <c r="G50" s="274">
        <v>60732</v>
      </c>
      <c r="H50" s="275" t="s">
        <v>287</v>
      </c>
      <c r="J50" s="259"/>
      <c r="K50" s="259"/>
    </row>
    <row r="51" spans="1:11" ht="16.899999999999999" customHeight="1">
      <c r="A51" s="522"/>
      <c r="B51" s="417" t="s">
        <v>173</v>
      </c>
      <c r="C51" s="269" t="s">
        <v>577</v>
      </c>
      <c r="D51" s="493"/>
      <c r="E51" s="269" t="s">
        <v>1</v>
      </c>
      <c r="F51" s="228">
        <f>G51*1.25</f>
        <v>81696.25</v>
      </c>
      <c r="G51" s="119">
        <v>65357</v>
      </c>
      <c r="H51" s="276"/>
      <c r="J51" s="259"/>
      <c r="K51" s="259"/>
    </row>
    <row r="52" spans="1:11" ht="17.45" customHeight="1">
      <c r="A52" s="522"/>
      <c r="B52" s="417" t="s">
        <v>621</v>
      </c>
      <c r="C52" s="120" t="s">
        <v>578</v>
      </c>
      <c r="D52" s="493"/>
      <c r="E52" s="269" t="s">
        <v>1</v>
      </c>
      <c r="F52" s="228">
        <f>G52*1.25</f>
        <v>95016.25</v>
      </c>
      <c r="G52" s="119">
        <v>76013</v>
      </c>
      <c r="H52" s="276" t="s">
        <v>287</v>
      </c>
      <c r="J52" s="259"/>
      <c r="K52" s="259"/>
    </row>
    <row r="53" spans="1:11" ht="16.899999999999999" customHeight="1">
      <c r="A53" s="522"/>
      <c r="B53" s="417" t="s">
        <v>622</v>
      </c>
      <c r="C53" s="120" t="s">
        <v>579</v>
      </c>
      <c r="D53" s="493"/>
      <c r="E53" s="269" t="s">
        <v>1</v>
      </c>
      <c r="F53" s="228">
        <f>G53*1.25</f>
        <v>143856.25</v>
      </c>
      <c r="G53" s="119">
        <v>115085</v>
      </c>
      <c r="H53" s="276"/>
      <c r="J53" s="259"/>
      <c r="K53" s="259"/>
    </row>
    <row r="54" spans="1:11" ht="16.899999999999999" customHeight="1" thickBot="1">
      <c r="A54" s="522"/>
      <c r="B54" s="419" t="s">
        <v>623</v>
      </c>
      <c r="C54" s="277" t="s">
        <v>580</v>
      </c>
      <c r="D54" s="494"/>
      <c r="E54" s="277" t="s">
        <v>1</v>
      </c>
      <c r="F54" s="278">
        <f>G54*1.25</f>
        <v>186035</v>
      </c>
      <c r="G54" s="278">
        <v>148828</v>
      </c>
      <c r="H54" s="279"/>
      <c r="J54" s="259"/>
      <c r="K54" s="259"/>
    </row>
    <row r="55" spans="1:11" ht="16.899999999999999" customHeight="1">
      <c r="A55" s="522"/>
      <c r="B55" s="421" t="s">
        <v>616</v>
      </c>
      <c r="C55" s="220" t="s">
        <v>576</v>
      </c>
      <c r="D55" s="482" t="s">
        <v>662</v>
      </c>
      <c r="E55" s="220" t="s">
        <v>1</v>
      </c>
      <c r="F55" s="236">
        <f>G55*1.25</f>
        <v>76477.5</v>
      </c>
      <c r="G55" s="236">
        <v>61182</v>
      </c>
      <c r="H55" s="272"/>
      <c r="J55" s="259"/>
      <c r="K55" s="259"/>
    </row>
    <row r="56" spans="1:11" ht="16.899999999999999" customHeight="1">
      <c r="A56" s="522"/>
      <c r="B56" s="413" t="s">
        <v>617</v>
      </c>
      <c r="C56" s="120" t="s">
        <v>577</v>
      </c>
      <c r="D56" s="483"/>
      <c r="E56" s="120" t="s">
        <v>1</v>
      </c>
      <c r="F56" s="119">
        <f>G56*1.25</f>
        <v>82291.25</v>
      </c>
      <c r="G56" s="119">
        <v>65833</v>
      </c>
      <c r="H56" s="280"/>
      <c r="J56" s="259"/>
      <c r="K56" s="259"/>
    </row>
    <row r="57" spans="1:11" ht="16.899999999999999" customHeight="1">
      <c r="A57" s="522"/>
      <c r="B57" s="413" t="s">
        <v>618</v>
      </c>
      <c r="C57" s="120" t="s">
        <v>578</v>
      </c>
      <c r="D57" s="483"/>
      <c r="E57" s="120" t="s">
        <v>1</v>
      </c>
      <c r="F57" s="119">
        <f>G57*1.25</f>
        <v>95708.75</v>
      </c>
      <c r="G57" s="119">
        <v>76567</v>
      </c>
      <c r="H57" s="280"/>
      <c r="J57" s="259"/>
      <c r="K57" s="259"/>
    </row>
    <row r="58" spans="1:11" ht="16.899999999999999" customHeight="1">
      <c r="A58" s="522"/>
      <c r="B58" s="413" t="s">
        <v>619</v>
      </c>
      <c r="C58" s="120" t="s">
        <v>579</v>
      </c>
      <c r="D58" s="483"/>
      <c r="E58" s="120" t="s">
        <v>1</v>
      </c>
      <c r="F58" s="119">
        <f>G58*1.25</f>
        <v>144905</v>
      </c>
      <c r="G58" s="119">
        <v>115924</v>
      </c>
      <c r="H58" s="280"/>
      <c r="J58" s="259"/>
      <c r="K58" s="259"/>
    </row>
    <row r="59" spans="1:11" ht="16.899999999999999" customHeight="1" thickBot="1">
      <c r="A59" s="522"/>
      <c r="B59" s="419" t="s">
        <v>620</v>
      </c>
      <c r="C59" s="277" t="s">
        <v>580</v>
      </c>
      <c r="D59" s="484"/>
      <c r="E59" s="277" t="s">
        <v>1</v>
      </c>
      <c r="F59" s="278">
        <f>G59*1.25</f>
        <v>187392.5</v>
      </c>
      <c r="G59" s="278">
        <v>149914</v>
      </c>
      <c r="H59" s="279"/>
      <c r="J59" s="259"/>
      <c r="K59" s="259"/>
    </row>
    <row r="60" spans="1:11" ht="16.899999999999999" customHeight="1">
      <c r="A60" s="522"/>
      <c r="B60" s="421" t="s">
        <v>94</v>
      </c>
      <c r="C60" s="220" t="s">
        <v>576</v>
      </c>
      <c r="D60" s="482" t="s">
        <v>663</v>
      </c>
      <c r="E60" s="220" t="s">
        <v>1</v>
      </c>
      <c r="F60" s="236">
        <f>G60*1.25</f>
        <v>79087.5</v>
      </c>
      <c r="G60" s="236">
        <v>63270</v>
      </c>
      <c r="H60" s="258"/>
      <c r="J60" s="259"/>
      <c r="K60" s="259"/>
    </row>
    <row r="61" spans="1:11" ht="16.899999999999999" customHeight="1">
      <c r="A61" s="522"/>
      <c r="B61" s="413" t="s">
        <v>95</v>
      </c>
      <c r="C61" s="120" t="s">
        <v>577</v>
      </c>
      <c r="D61" s="483"/>
      <c r="E61" s="120" t="s">
        <v>1</v>
      </c>
      <c r="F61" s="119">
        <f>G61*1.25</f>
        <v>85100</v>
      </c>
      <c r="G61" s="119">
        <v>68080</v>
      </c>
      <c r="H61" s="272"/>
      <c r="J61" s="259"/>
      <c r="K61" s="259"/>
    </row>
    <row r="62" spans="1:11" ht="16.899999999999999" customHeight="1">
      <c r="A62" s="522"/>
      <c r="B62" s="413" t="s">
        <v>96</v>
      </c>
      <c r="C62" s="120" t="s">
        <v>578</v>
      </c>
      <c r="D62" s="483"/>
      <c r="E62" s="120" t="s">
        <v>1</v>
      </c>
      <c r="F62" s="119">
        <f>G62*1.25</f>
        <v>98975</v>
      </c>
      <c r="G62" s="119">
        <v>79180</v>
      </c>
      <c r="H62" s="280"/>
      <c r="J62" s="259"/>
      <c r="K62" s="259"/>
    </row>
    <row r="63" spans="1:11" ht="16.899999999999999" customHeight="1">
      <c r="A63" s="522"/>
      <c r="B63" s="413" t="s">
        <v>97</v>
      </c>
      <c r="C63" s="120" t="s">
        <v>579</v>
      </c>
      <c r="D63" s="483"/>
      <c r="E63" s="120" t="s">
        <v>1</v>
      </c>
      <c r="F63" s="119">
        <f>G63*1.25</f>
        <v>149850</v>
      </c>
      <c r="G63" s="119">
        <v>119880</v>
      </c>
      <c r="H63" s="202"/>
      <c r="J63" s="259"/>
      <c r="K63" s="259"/>
    </row>
    <row r="64" spans="1:11" ht="16.899999999999999" customHeight="1" thickBot="1">
      <c r="A64" s="523"/>
      <c r="B64" s="419" t="s">
        <v>98</v>
      </c>
      <c r="C64" s="277" t="s">
        <v>580</v>
      </c>
      <c r="D64" s="484"/>
      <c r="E64" s="277" t="s">
        <v>1</v>
      </c>
      <c r="F64" s="278">
        <f>G64*1.25</f>
        <v>193787.5</v>
      </c>
      <c r="G64" s="278">
        <v>155030</v>
      </c>
      <c r="H64" s="281"/>
      <c r="J64" s="259"/>
      <c r="K64" s="259"/>
    </row>
    <row r="65" spans="1:11" s="428" customFormat="1" ht="15" customHeight="1">
      <c r="A65" s="504" t="s">
        <v>384</v>
      </c>
      <c r="B65" s="505"/>
      <c r="C65" s="505"/>
      <c r="D65" s="505"/>
      <c r="E65" s="505"/>
      <c r="F65" s="505"/>
      <c r="G65" s="505"/>
      <c r="H65" s="506"/>
      <c r="K65" s="430"/>
    </row>
    <row r="66" spans="1:11" ht="33.4" customHeight="1">
      <c r="A66" s="524" t="s">
        <v>510</v>
      </c>
      <c r="B66" s="525"/>
      <c r="C66" s="182" t="s">
        <v>312</v>
      </c>
      <c r="D66" s="453" t="s">
        <v>866</v>
      </c>
      <c r="E66" s="453" t="s">
        <v>1</v>
      </c>
      <c r="F66" s="35">
        <f>G66*1.25</f>
        <v>305712.5</v>
      </c>
      <c r="G66" s="35">
        <v>244570</v>
      </c>
      <c r="H66" s="126"/>
      <c r="I66" s="212"/>
      <c r="K66" s="259"/>
    </row>
    <row r="67" spans="1:11" ht="33.4" customHeight="1">
      <c r="A67" s="524" t="s">
        <v>838</v>
      </c>
      <c r="B67" s="525"/>
      <c r="C67" s="182" t="s">
        <v>312</v>
      </c>
      <c r="D67" s="453" t="s">
        <v>867</v>
      </c>
      <c r="E67" s="453" t="s">
        <v>1</v>
      </c>
      <c r="F67" s="35">
        <f>G67*1.25</f>
        <v>382950</v>
      </c>
      <c r="G67" s="35">
        <v>306360</v>
      </c>
      <c r="H67" s="126"/>
      <c r="I67" s="212"/>
      <c r="K67" s="259"/>
    </row>
    <row r="68" spans="1:11" ht="16.899999999999999" customHeight="1">
      <c r="A68" s="485" t="s">
        <v>868</v>
      </c>
      <c r="B68" s="486"/>
      <c r="C68" s="182" t="s">
        <v>312</v>
      </c>
      <c r="D68" s="515" t="s">
        <v>536</v>
      </c>
      <c r="E68" s="453" t="s">
        <v>1</v>
      </c>
      <c r="F68" s="150">
        <f>G68*1.25</f>
        <v>287212.5</v>
      </c>
      <c r="G68" s="35">
        <v>229770</v>
      </c>
      <c r="H68" s="200"/>
      <c r="I68" s="212"/>
      <c r="K68" s="259"/>
    </row>
    <row r="69" spans="1:11" ht="16.899999999999999" customHeight="1">
      <c r="A69" s="485" t="s">
        <v>535</v>
      </c>
      <c r="B69" s="486"/>
      <c r="C69" s="182" t="s">
        <v>371</v>
      </c>
      <c r="D69" s="517"/>
      <c r="E69" s="453" t="s">
        <v>1</v>
      </c>
      <c r="F69" s="150">
        <f>G69*1.25</f>
        <v>388037.5</v>
      </c>
      <c r="G69" s="35">
        <v>310430</v>
      </c>
      <c r="H69" s="199"/>
      <c r="I69" s="212"/>
      <c r="K69" s="259"/>
    </row>
    <row r="70" spans="1:11" ht="16.899999999999999" customHeight="1">
      <c r="A70" s="485" t="s">
        <v>575</v>
      </c>
      <c r="B70" s="487"/>
      <c r="C70" s="182" t="s">
        <v>554</v>
      </c>
      <c r="D70" s="517"/>
      <c r="E70" s="453" t="s">
        <v>1</v>
      </c>
      <c r="F70" s="150">
        <f>G70*1.25</f>
        <v>561012.5</v>
      </c>
      <c r="G70" s="35">
        <v>448810</v>
      </c>
      <c r="H70" s="199"/>
      <c r="I70" s="212"/>
      <c r="K70" s="259"/>
    </row>
    <row r="71" spans="1:11" ht="16.899999999999999" customHeight="1">
      <c r="A71" s="485" t="s">
        <v>790</v>
      </c>
      <c r="B71" s="486"/>
      <c r="C71" s="182" t="s">
        <v>373</v>
      </c>
      <c r="D71" s="518"/>
      <c r="E71" s="453" t="s">
        <v>1</v>
      </c>
      <c r="F71" s="150">
        <f>G71*1.25</f>
        <v>592925</v>
      </c>
      <c r="G71" s="35">
        <v>474340</v>
      </c>
      <c r="H71" s="197"/>
      <c r="I71" s="212"/>
      <c r="K71" s="259"/>
    </row>
    <row r="72" spans="1:11" ht="16.899999999999999" customHeight="1">
      <c r="A72" s="485" t="s">
        <v>130</v>
      </c>
      <c r="B72" s="486"/>
      <c r="C72" s="182" t="s">
        <v>538</v>
      </c>
      <c r="D72" s="515" t="s">
        <v>537</v>
      </c>
      <c r="E72" s="453" t="s">
        <v>1</v>
      </c>
      <c r="F72" s="150">
        <f>G72*1.28</f>
        <v>1173196.8</v>
      </c>
      <c r="G72" s="35">
        <v>916560</v>
      </c>
      <c r="H72" s="198" t="s">
        <v>869</v>
      </c>
    </row>
    <row r="73" spans="1:11" ht="16.899999999999999" customHeight="1" thickBot="1">
      <c r="A73" s="526" t="s">
        <v>132</v>
      </c>
      <c r="B73" s="527"/>
      <c r="C73" s="317" t="s">
        <v>375</v>
      </c>
      <c r="D73" s="516"/>
      <c r="E73" s="454" t="s">
        <v>1</v>
      </c>
      <c r="F73" s="460">
        <f>G73*1.28</f>
        <v>1514649.6000000001</v>
      </c>
      <c r="G73" s="461">
        <v>1183320</v>
      </c>
      <c r="H73" s="426" t="s">
        <v>791</v>
      </c>
    </row>
    <row r="74" spans="1:11" s="428" customFormat="1" ht="16.899999999999999" customHeight="1" thickBot="1">
      <c r="A74" s="504" t="s">
        <v>108</v>
      </c>
      <c r="B74" s="505"/>
      <c r="C74" s="505"/>
      <c r="D74" s="505"/>
      <c r="E74" s="505"/>
      <c r="F74" s="505"/>
      <c r="G74" s="505"/>
      <c r="H74" s="506"/>
    </row>
    <row r="75" spans="1:11" ht="16.899999999999999" customHeight="1">
      <c r="A75" s="501" t="s">
        <v>300</v>
      </c>
      <c r="B75" s="510"/>
      <c r="C75" s="315" t="s">
        <v>382</v>
      </c>
      <c r="D75" s="490" t="s">
        <v>520</v>
      </c>
      <c r="E75" s="268" t="s">
        <v>1</v>
      </c>
      <c r="F75" s="216">
        <f>G75*1.25</f>
        <v>176112.5</v>
      </c>
      <c r="G75" s="216">
        <v>140890</v>
      </c>
      <c r="H75" s="316"/>
    </row>
    <row r="76" spans="1:11" ht="16.899999999999999" customHeight="1">
      <c r="A76" s="488" t="s">
        <v>472</v>
      </c>
      <c r="B76" s="489"/>
      <c r="C76" s="182" t="s">
        <v>309</v>
      </c>
      <c r="D76" s="491"/>
      <c r="E76" s="393" t="s">
        <v>1</v>
      </c>
      <c r="F76" s="35">
        <f>G76*1.25</f>
        <v>237725</v>
      </c>
      <c r="G76" s="35">
        <v>190180</v>
      </c>
      <c r="H76" s="180"/>
    </row>
    <row r="77" spans="1:11" ht="16.899999999999999" customHeight="1">
      <c r="A77" s="488" t="s">
        <v>47</v>
      </c>
      <c r="B77" s="489"/>
      <c r="C77" s="182" t="s">
        <v>310</v>
      </c>
      <c r="D77" s="491"/>
      <c r="E77" s="393" t="s">
        <v>1</v>
      </c>
      <c r="F77" s="35">
        <f>G77*1.25</f>
        <v>317275</v>
      </c>
      <c r="G77" s="35">
        <v>253820</v>
      </c>
      <c r="H77" s="198"/>
    </row>
    <row r="78" spans="1:11" ht="16.899999999999999" customHeight="1">
      <c r="A78" s="488" t="s">
        <v>48</v>
      </c>
      <c r="B78" s="489"/>
      <c r="C78" s="182" t="s">
        <v>376</v>
      </c>
      <c r="D78" s="491"/>
      <c r="E78" s="393" t="s">
        <v>1</v>
      </c>
      <c r="F78" s="35">
        <f>G78*1.25</f>
        <v>436600</v>
      </c>
      <c r="G78" s="35">
        <v>349280</v>
      </c>
      <c r="H78" s="198"/>
    </row>
    <row r="79" spans="1:11" ht="16.899999999999999" customHeight="1">
      <c r="A79" s="488" t="s">
        <v>496</v>
      </c>
      <c r="B79" s="489"/>
      <c r="C79" s="182" t="s">
        <v>377</v>
      </c>
      <c r="D79" s="491"/>
      <c r="E79" s="393" t="s">
        <v>1</v>
      </c>
      <c r="F79" s="35">
        <f>G79*1.25</f>
        <v>553612.5</v>
      </c>
      <c r="G79" s="35">
        <v>442890</v>
      </c>
      <c r="H79" s="394"/>
    </row>
    <row r="80" spans="1:11" ht="16.899999999999999" customHeight="1">
      <c r="A80" s="488" t="s">
        <v>522</v>
      </c>
      <c r="B80" s="489"/>
      <c r="C80" s="182" t="s">
        <v>383</v>
      </c>
      <c r="D80" s="491"/>
      <c r="E80" s="393" t="s">
        <v>1</v>
      </c>
      <c r="F80" s="35">
        <f>G80*1.25</f>
        <v>643337.5</v>
      </c>
      <c r="G80" s="35">
        <v>514670</v>
      </c>
      <c r="H80" s="198" t="s">
        <v>828</v>
      </c>
    </row>
    <row r="81" spans="1:9" s="428" customFormat="1" ht="16.899999999999999" customHeight="1" thickBot="1">
      <c r="A81" s="609" t="s">
        <v>107</v>
      </c>
      <c r="B81" s="610"/>
      <c r="C81" s="610"/>
      <c r="D81" s="610"/>
      <c r="E81" s="610"/>
      <c r="F81" s="610"/>
      <c r="G81" s="610"/>
      <c r="H81" s="611"/>
    </row>
    <row r="82" spans="1:9" ht="15" customHeight="1">
      <c r="A82" s="501" t="s">
        <v>385</v>
      </c>
      <c r="B82" s="510"/>
      <c r="C82" s="315" t="s">
        <v>380</v>
      </c>
      <c r="D82" s="490" t="s">
        <v>520</v>
      </c>
      <c r="E82" s="437" t="s">
        <v>1</v>
      </c>
      <c r="F82" s="216">
        <f>G82*1.25</f>
        <v>199337.5</v>
      </c>
      <c r="G82" s="216">
        <v>159470</v>
      </c>
      <c r="H82" s="316" t="s">
        <v>287</v>
      </c>
    </row>
    <row r="83" spans="1:9" ht="15" customHeight="1">
      <c r="A83" s="488" t="s">
        <v>386</v>
      </c>
      <c r="B83" s="489"/>
      <c r="C83" s="182" t="s">
        <v>381</v>
      </c>
      <c r="D83" s="491"/>
      <c r="E83" s="438" t="s">
        <v>1</v>
      </c>
      <c r="F83" s="35">
        <f>G83*1.25</f>
        <v>249750</v>
      </c>
      <c r="G83" s="35">
        <v>199800</v>
      </c>
      <c r="H83" s="198" t="s">
        <v>828</v>
      </c>
    </row>
    <row r="84" spans="1:9" ht="15" customHeight="1">
      <c r="A84" s="488" t="s">
        <v>387</v>
      </c>
      <c r="B84" s="489"/>
      <c r="C84" s="182" t="s">
        <v>312</v>
      </c>
      <c r="D84" s="491"/>
      <c r="E84" s="438" t="s">
        <v>1</v>
      </c>
      <c r="F84" s="35">
        <f>G84*1.25</f>
        <v>324675</v>
      </c>
      <c r="G84" s="35">
        <v>259740</v>
      </c>
      <c r="H84" s="198" t="s">
        <v>828</v>
      </c>
    </row>
    <row r="85" spans="1:9" ht="15" customHeight="1">
      <c r="A85" s="488" t="s">
        <v>388</v>
      </c>
      <c r="B85" s="489"/>
      <c r="C85" s="182" t="s">
        <v>376</v>
      </c>
      <c r="D85" s="491"/>
      <c r="E85" s="438" t="s">
        <v>1</v>
      </c>
      <c r="F85" s="35">
        <f>G85*1.25</f>
        <v>450012.5</v>
      </c>
      <c r="G85" s="35">
        <v>360010</v>
      </c>
      <c r="H85" s="198" t="s">
        <v>828</v>
      </c>
      <c r="I85" s="212"/>
    </row>
    <row r="86" spans="1:9" ht="15" customHeight="1">
      <c r="A86" s="488" t="s">
        <v>389</v>
      </c>
      <c r="B86" s="489"/>
      <c r="C86" s="182" t="s">
        <v>372</v>
      </c>
      <c r="D86" s="491"/>
      <c r="E86" s="438" t="s">
        <v>1</v>
      </c>
      <c r="F86" s="35">
        <f>G86*1.25</f>
        <v>555925</v>
      </c>
      <c r="G86" s="35">
        <v>444740</v>
      </c>
      <c r="H86" s="198" t="s">
        <v>828</v>
      </c>
    </row>
    <row r="87" spans="1:9" ht="15" customHeight="1">
      <c r="A87" s="488" t="s">
        <v>390</v>
      </c>
      <c r="B87" s="489"/>
      <c r="C87" s="182" t="s">
        <v>378</v>
      </c>
      <c r="D87" s="491"/>
      <c r="E87" s="438" t="s">
        <v>1</v>
      </c>
      <c r="F87" s="35">
        <f>G87*1.25</f>
        <v>657212.5</v>
      </c>
      <c r="G87" s="35">
        <v>525770</v>
      </c>
      <c r="H87" s="198" t="s">
        <v>828</v>
      </c>
    </row>
    <row r="88" spans="1:9" ht="15" customHeight="1">
      <c r="A88" s="488" t="s">
        <v>839</v>
      </c>
      <c r="B88" s="489"/>
      <c r="C88" s="182" t="s">
        <v>381</v>
      </c>
      <c r="D88" s="491"/>
      <c r="E88" s="438" t="s">
        <v>1</v>
      </c>
      <c r="F88" s="35">
        <f>G88*1.25</f>
        <v>224775</v>
      </c>
      <c r="G88" s="35">
        <v>179820</v>
      </c>
      <c r="H88" s="198" t="s">
        <v>828</v>
      </c>
    </row>
    <row r="89" spans="1:9" ht="15" customHeight="1">
      <c r="A89" s="488" t="s">
        <v>794</v>
      </c>
      <c r="B89" s="489"/>
      <c r="C89" s="182" t="s">
        <v>372</v>
      </c>
      <c r="D89" s="515"/>
      <c r="E89" s="469" t="s">
        <v>1</v>
      </c>
      <c r="F89" s="35">
        <f>G89*1.25</f>
        <v>500332.5</v>
      </c>
      <c r="G89" s="35">
        <v>400266</v>
      </c>
      <c r="H89" s="198" t="s">
        <v>828</v>
      </c>
    </row>
    <row r="90" spans="1:9" ht="15" customHeight="1" thickBot="1">
      <c r="A90" s="502" t="s">
        <v>795</v>
      </c>
      <c r="B90" s="597"/>
      <c r="C90" s="317" t="s">
        <v>378</v>
      </c>
      <c r="D90" s="503"/>
      <c r="E90" s="439" t="s">
        <v>1</v>
      </c>
      <c r="F90" s="217">
        <f>G90*1.25</f>
        <v>591491.25</v>
      </c>
      <c r="G90" s="217">
        <v>473193</v>
      </c>
      <c r="H90" s="426" t="s">
        <v>828</v>
      </c>
    </row>
    <row r="91" spans="1:9" s="428" customFormat="1" ht="15" customHeight="1" thickBot="1">
      <c r="A91" s="609" t="s">
        <v>106</v>
      </c>
      <c r="B91" s="610"/>
      <c r="C91" s="610"/>
      <c r="D91" s="610"/>
      <c r="E91" s="610"/>
      <c r="F91" s="610"/>
      <c r="G91" s="610"/>
      <c r="H91" s="611"/>
    </row>
    <row r="92" spans="1:9" ht="16.149999999999999" customHeight="1">
      <c r="A92" s="501" t="s">
        <v>484</v>
      </c>
      <c r="B92" s="510"/>
      <c r="C92" s="315" t="s">
        <v>309</v>
      </c>
      <c r="D92" s="529" t="s">
        <v>870</v>
      </c>
      <c r="E92" s="268" t="s">
        <v>1</v>
      </c>
      <c r="F92" s="216">
        <f>G92*1.25</f>
        <v>231712.5</v>
      </c>
      <c r="G92" s="216">
        <v>185370</v>
      </c>
      <c r="H92" s="316" t="s">
        <v>793</v>
      </c>
      <c r="I92" s="212"/>
    </row>
    <row r="93" spans="1:9" ht="16.149999999999999" customHeight="1">
      <c r="A93" s="488" t="s">
        <v>511</v>
      </c>
      <c r="B93" s="489"/>
      <c r="C93" s="182" t="s">
        <v>312</v>
      </c>
      <c r="D93" s="517"/>
      <c r="E93" s="393" t="s">
        <v>1</v>
      </c>
      <c r="F93" s="35">
        <f>G93*1.25</f>
        <v>333000</v>
      </c>
      <c r="G93" s="35">
        <v>266400</v>
      </c>
      <c r="H93" s="198"/>
      <c r="I93" s="322"/>
    </row>
    <row r="94" spans="1:9" ht="16.149999999999999" customHeight="1">
      <c r="A94" s="488" t="s">
        <v>483</v>
      </c>
      <c r="B94" s="489"/>
      <c r="C94" s="182" t="s">
        <v>376</v>
      </c>
      <c r="D94" s="517"/>
      <c r="E94" s="393" t="s">
        <v>1</v>
      </c>
      <c r="F94" s="35">
        <f>G94*1.25</f>
        <v>463425</v>
      </c>
      <c r="G94" s="35">
        <v>370740</v>
      </c>
      <c r="H94" s="198" t="s">
        <v>828</v>
      </c>
    </row>
    <row r="95" spans="1:9" ht="16.149999999999999" customHeight="1">
      <c r="A95" s="488" t="s">
        <v>485</v>
      </c>
      <c r="B95" s="489"/>
      <c r="C95" s="182" t="s">
        <v>377</v>
      </c>
      <c r="D95" s="517"/>
      <c r="E95" s="393" t="s">
        <v>1</v>
      </c>
      <c r="F95" s="35">
        <f>G95*1.25</f>
        <v>564712.5</v>
      </c>
      <c r="G95" s="35">
        <v>451770</v>
      </c>
      <c r="H95" s="198"/>
      <c r="I95" s="212"/>
    </row>
    <row r="96" spans="1:9" ht="16.149999999999999" customHeight="1">
      <c r="A96" s="488" t="s">
        <v>512</v>
      </c>
      <c r="B96" s="489"/>
      <c r="C96" s="182" t="s">
        <v>378</v>
      </c>
      <c r="D96" s="517"/>
      <c r="E96" s="393" t="s">
        <v>1</v>
      </c>
      <c r="F96" s="35">
        <f>G96*1.25</f>
        <v>652587.5</v>
      </c>
      <c r="G96" s="35">
        <v>522070</v>
      </c>
      <c r="H96" s="126" t="s">
        <v>793</v>
      </c>
      <c r="I96" s="212"/>
    </row>
    <row r="97" spans="1:9" ht="16.149999999999999" customHeight="1">
      <c r="A97" s="524" t="s">
        <v>840</v>
      </c>
      <c r="B97" s="525"/>
      <c r="C97" s="470" t="s">
        <v>376</v>
      </c>
      <c r="D97" s="517"/>
      <c r="E97" s="361" t="s">
        <v>1</v>
      </c>
      <c r="F97" s="362">
        <f>G97*1.25</f>
        <v>417082.5</v>
      </c>
      <c r="G97" s="362">
        <v>333666</v>
      </c>
      <c r="H97" s="471"/>
      <c r="I97" s="212"/>
    </row>
    <row r="98" spans="1:9" ht="16.149999999999999" customHeight="1">
      <c r="A98" s="524" t="s">
        <v>841</v>
      </c>
      <c r="B98" s="525"/>
      <c r="C98" s="470" t="s">
        <v>377</v>
      </c>
      <c r="D98" s="517"/>
      <c r="E98" s="361" t="s">
        <v>1</v>
      </c>
      <c r="F98" s="362">
        <f>G98*1.25</f>
        <v>508241.25</v>
      </c>
      <c r="G98" s="362">
        <v>406593</v>
      </c>
      <c r="H98" s="471"/>
      <c r="I98" s="212"/>
    </row>
    <row r="99" spans="1:9" ht="16.149999999999999" customHeight="1">
      <c r="A99" s="524" t="s">
        <v>842</v>
      </c>
      <c r="B99" s="525"/>
      <c r="C99" s="470" t="s">
        <v>378</v>
      </c>
      <c r="D99" s="518"/>
      <c r="E99" s="361" t="s">
        <v>1</v>
      </c>
      <c r="F99" s="362">
        <f>G99*1.25</f>
        <v>587328.75</v>
      </c>
      <c r="G99" s="362">
        <v>469863</v>
      </c>
      <c r="H99" s="471"/>
      <c r="I99" s="212"/>
    </row>
    <row r="100" spans="1:9" ht="16.149999999999999" customHeight="1">
      <c r="A100" s="488" t="s">
        <v>395</v>
      </c>
      <c r="B100" s="489"/>
      <c r="C100" s="182" t="s">
        <v>377</v>
      </c>
      <c r="D100" s="491" t="s">
        <v>796</v>
      </c>
      <c r="E100" s="393" t="s">
        <v>1</v>
      </c>
      <c r="F100" s="35">
        <f>G100*1.25</f>
        <v>593850</v>
      </c>
      <c r="G100" s="35">
        <v>475080</v>
      </c>
      <c r="H100" s="198" t="s">
        <v>287</v>
      </c>
      <c r="I100" s="212"/>
    </row>
    <row r="101" spans="1:9" ht="16.149999999999999" customHeight="1">
      <c r="A101" s="488" t="s">
        <v>513</v>
      </c>
      <c r="B101" s="489"/>
      <c r="C101" s="182" t="s">
        <v>378</v>
      </c>
      <c r="D101" s="491"/>
      <c r="E101" s="393" t="s">
        <v>1</v>
      </c>
      <c r="F101" s="35">
        <f>G101*1.25</f>
        <v>681725</v>
      </c>
      <c r="G101" s="35">
        <v>545380</v>
      </c>
      <c r="H101" s="198" t="s">
        <v>828</v>
      </c>
      <c r="I101" s="212"/>
    </row>
    <row r="102" spans="1:9" ht="16.149999999999999" customHeight="1">
      <c r="A102" s="524" t="s">
        <v>797</v>
      </c>
      <c r="B102" s="525"/>
      <c r="C102" s="470" t="s">
        <v>377</v>
      </c>
      <c r="D102" s="491"/>
      <c r="E102" s="361" t="s">
        <v>1</v>
      </c>
      <c r="F102" s="362">
        <f>G102*1.25</f>
        <v>534465</v>
      </c>
      <c r="G102" s="362">
        <v>427572</v>
      </c>
      <c r="H102" s="471" t="s">
        <v>793</v>
      </c>
      <c r="I102" s="212"/>
    </row>
    <row r="103" spans="1:9" ht="16.149999999999999" customHeight="1">
      <c r="A103" s="488" t="s">
        <v>396</v>
      </c>
      <c r="B103" s="489"/>
      <c r="C103" s="182" t="s">
        <v>374</v>
      </c>
      <c r="D103" s="515" t="s">
        <v>871</v>
      </c>
      <c r="E103" s="393" t="s">
        <v>1</v>
      </c>
      <c r="F103" s="35">
        <f>G103*1.28</f>
        <v>1144546.56</v>
      </c>
      <c r="G103" s="35">
        <v>894177</v>
      </c>
      <c r="H103" s="198" t="s">
        <v>869</v>
      </c>
      <c r="I103" s="212"/>
    </row>
    <row r="104" spans="1:9" ht="16.149999999999999" customHeight="1">
      <c r="A104" s="488" t="s">
        <v>301</v>
      </c>
      <c r="B104" s="489"/>
      <c r="C104" s="182" t="s">
        <v>375</v>
      </c>
      <c r="D104" s="517"/>
      <c r="E104" s="393" t="s">
        <v>1</v>
      </c>
      <c r="F104" s="35">
        <f>G104*1.28</f>
        <v>1403136</v>
      </c>
      <c r="G104" s="35">
        <v>1096200</v>
      </c>
      <c r="H104" s="197" t="s">
        <v>793</v>
      </c>
      <c r="I104" s="212"/>
    </row>
    <row r="105" spans="1:9" ht="21" customHeight="1">
      <c r="A105" s="488" t="s">
        <v>302</v>
      </c>
      <c r="B105" s="489"/>
      <c r="C105" s="182" t="s">
        <v>379</v>
      </c>
      <c r="D105" s="517"/>
      <c r="E105" s="393" t="s">
        <v>1</v>
      </c>
      <c r="F105" s="35">
        <f>G105*1.28</f>
        <v>1572503.04</v>
      </c>
      <c r="G105" s="35">
        <v>1228518</v>
      </c>
      <c r="H105" s="197"/>
    </row>
    <row r="106" spans="1:9" ht="16.149999999999999" customHeight="1">
      <c r="A106" s="488" t="s">
        <v>564</v>
      </c>
      <c r="B106" s="489"/>
      <c r="C106" s="182" t="s">
        <v>566</v>
      </c>
      <c r="D106" s="517"/>
      <c r="E106" s="393" t="s">
        <v>1</v>
      </c>
      <c r="F106" s="35">
        <f>G106*1.28</f>
        <v>2214144</v>
      </c>
      <c r="G106" s="35">
        <v>1729800</v>
      </c>
      <c r="H106" s="197" t="s">
        <v>287</v>
      </c>
      <c r="I106" s="212"/>
    </row>
    <row r="107" spans="1:9" ht="16.149999999999999" customHeight="1" thickBot="1">
      <c r="A107" s="502" t="s">
        <v>565</v>
      </c>
      <c r="B107" s="597"/>
      <c r="C107" s="317" t="s">
        <v>567</v>
      </c>
      <c r="D107" s="516"/>
      <c r="E107" s="386" t="s">
        <v>1</v>
      </c>
      <c r="F107" s="217">
        <f>G107*1.28</f>
        <v>2474035.2000000002</v>
      </c>
      <c r="G107" s="217">
        <v>1932840</v>
      </c>
      <c r="H107" s="318" t="s">
        <v>869</v>
      </c>
      <c r="I107" s="212"/>
    </row>
    <row r="108" spans="1:9" s="428" customFormat="1" ht="12.75" customHeight="1" thickBot="1">
      <c r="A108" s="534" t="s">
        <v>399</v>
      </c>
      <c r="B108" s="535"/>
      <c r="C108" s="535"/>
      <c r="D108" s="535"/>
      <c r="E108" s="535"/>
      <c r="F108" s="535"/>
      <c r="G108" s="535"/>
      <c r="H108" s="536"/>
    </row>
    <row r="109" spans="1:9" ht="15" customHeight="1">
      <c r="A109" s="533" t="s">
        <v>125</v>
      </c>
      <c r="B109" s="604"/>
      <c r="C109" s="224" t="s">
        <v>397</v>
      </c>
      <c r="D109" s="385" t="s">
        <v>717</v>
      </c>
      <c r="E109" s="385" t="s">
        <v>1</v>
      </c>
      <c r="F109" s="150">
        <v>1342202.4</v>
      </c>
      <c r="G109" s="150">
        <v>1195200</v>
      </c>
      <c r="H109" s="198"/>
      <c r="I109" s="212"/>
    </row>
    <row r="110" spans="1:9" ht="15" customHeight="1">
      <c r="A110" s="488" t="s">
        <v>127</v>
      </c>
      <c r="B110" s="489"/>
      <c r="C110" s="182" t="s">
        <v>398</v>
      </c>
      <c r="D110" s="393" t="s">
        <v>718</v>
      </c>
      <c r="E110" s="393" t="s">
        <v>1</v>
      </c>
      <c r="F110" s="35">
        <v>2286900</v>
      </c>
      <c r="G110" s="35">
        <v>2034000</v>
      </c>
      <c r="H110" s="197" t="s">
        <v>287</v>
      </c>
      <c r="I110" s="212"/>
    </row>
    <row r="111" spans="1:9" ht="15" customHeight="1">
      <c r="A111" s="511" t="s">
        <v>532</v>
      </c>
      <c r="B111" s="512"/>
      <c r="C111" s="226" t="s">
        <v>533</v>
      </c>
      <c r="D111" s="384" t="s">
        <v>719</v>
      </c>
      <c r="E111" s="384" t="s">
        <v>1</v>
      </c>
      <c r="F111" s="141">
        <v>3556337.4</v>
      </c>
      <c r="G111" s="141">
        <v>3167280</v>
      </c>
      <c r="H111" s="227"/>
      <c r="I111" s="212"/>
    </row>
    <row r="112" spans="1:9" ht="15" customHeight="1" thickBot="1">
      <c r="A112" s="511" t="s">
        <v>587</v>
      </c>
      <c r="B112" s="512"/>
      <c r="C112" s="226" t="s">
        <v>588</v>
      </c>
      <c r="D112" s="384" t="s">
        <v>720</v>
      </c>
      <c r="E112" s="384" t="s">
        <v>1</v>
      </c>
      <c r="F112" s="141">
        <f>G112*1.27</f>
        <v>5256428.4000000004</v>
      </c>
      <c r="G112" s="141">
        <v>4138920</v>
      </c>
      <c r="H112" s="230"/>
      <c r="I112" s="212"/>
    </row>
    <row r="113" spans="1:9" s="428" customFormat="1" ht="16.899999999999999" customHeight="1" thickBot="1">
      <c r="A113" s="560" t="s">
        <v>119</v>
      </c>
      <c r="B113" s="561"/>
      <c r="C113" s="561"/>
      <c r="D113" s="561"/>
      <c r="E113" s="561"/>
      <c r="F113" s="561"/>
      <c r="G113" s="561"/>
      <c r="H113" s="562"/>
    </row>
    <row r="114" spans="1:9" ht="16.899999999999999" customHeight="1">
      <c r="A114" s="557" t="s">
        <v>303</v>
      </c>
      <c r="B114" s="558"/>
      <c r="C114" s="558"/>
      <c r="D114" s="558"/>
      <c r="E114" s="558"/>
      <c r="F114" s="558"/>
      <c r="G114" s="558"/>
      <c r="H114" s="559"/>
    </row>
    <row r="115" spans="1:9" ht="16.899999999999999" customHeight="1">
      <c r="A115" s="485" t="s">
        <v>146</v>
      </c>
      <c r="B115" s="486"/>
      <c r="C115" s="555" t="s">
        <v>306</v>
      </c>
      <c r="D115" s="556"/>
      <c r="E115" s="389" t="s">
        <v>1</v>
      </c>
      <c r="F115" s="35">
        <v>3423920</v>
      </c>
      <c r="G115" s="35">
        <v>2813217</v>
      </c>
      <c r="H115" s="183"/>
    </row>
    <row r="116" spans="1:9" ht="16.899999999999999" customHeight="1">
      <c r="A116" s="485" t="s">
        <v>147</v>
      </c>
      <c r="B116" s="486"/>
      <c r="C116" s="555" t="s">
        <v>305</v>
      </c>
      <c r="D116" s="556"/>
      <c r="E116" s="391" t="s">
        <v>1</v>
      </c>
      <c r="F116" s="35">
        <v>4154170</v>
      </c>
      <c r="G116" s="35">
        <v>3413217</v>
      </c>
      <c r="H116" s="183"/>
    </row>
    <row r="117" spans="1:9" ht="16.899999999999999" customHeight="1" thickBot="1">
      <c r="A117" s="612" t="s">
        <v>148</v>
      </c>
      <c r="B117" s="613"/>
      <c r="C117" s="600" t="s">
        <v>304</v>
      </c>
      <c r="D117" s="601"/>
      <c r="E117" s="392" t="s">
        <v>1</v>
      </c>
      <c r="F117" s="141">
        <v>4371340</v>
      </c>
      <c r="G117" s="141">
        <v>3591652</v>
      </c>
      <c r="H117" s="231"/>
    </row>
    <row r="118" spans="1:9" s="428" customFormat="1" ht="16.899999999999999" customHeight="1" thickBot="1">
      <c r="A118" s="560" t="s">
        <v>486</v>
      </c>
      <c r="B118" s="561"/>
      <c r="C118" s="561"/>
      <c r="D118" s="561"/>
      <c r="E118" s="561"/>
      <c r="F118" s="561"/>
      <c r="G118" s="561"/>
      <c r="H118" s="562"/>
    </row>
    <row r="119" spans="1:9" ht="16.899999999999999" customHeight="1">
      <c r="A119" s="583" t="s">
        <v>487</v>
      </c>
      <c r="B119" s="584"/>
      <c r="C119" s="605" t="s">
        <v>494</v>
      </c>
      <c r="D119" s="605"/>
      <c r="E119" s="390" t="s">
        <v>1</v>
      </c>
      <c r="F119" s="150">
        <v>886485.6</v>
      </c>
      <c r="G119" s="150">
        <v>803160</v>
      </c>
      <c r="H119" s="395"/>
    </row>
    <row r="120" spans="1:9" ht="16.899999999999999" customHeight="1">
      <c r="A120" s="579" t="s">
        <v>488</v>
      </c>
      <c r="B120" s="580"/>
      <c r="C120" s="585" t="s">
        <v>495</v>
      </c>
      <c r="D120" s="585"/>
      <c r="E120" s="391" t="s">
        <v>1</v>
      </c>
      <c r="F120" s="35">
        <v>974635.2</v>
      </c>
      <c r="G120" s="35">
        <v>888120</v>
      </c>
      <c r="H120" s="198"/>
      <c r="I120" s="212"/>
    </row>
    <row r="121" spans="1:9" ht="16.899999999999999" customHeight="1" thickBot="1">
      <c r="A121" s="598" t="s">
        <v>489</v>
      </c>
      <c r="B121" s="599"/>
      <c r="C121" s="614" t="s">
        <v>397</v>
      </c>
      <c r="D121" s="614"/>
      <c r="E121" s="392" t="s">
        <v>1</v>
      </c>
      <c r="F121" s="141">
        <v>1057795.2</v>
      </c>
      <c r="G121" s="141">
        <v>1002600</v>
      </c>
      <c r="H121" s="198"/>
      <c r="I121" s="212"/>
    </row>
    <row r="122" spans="1:9" s="428" customFormat="1" ht="16.899999999999999" customHeight="1" thickBot="1">
      <c r="A122" s="606" t="s">
        <v>493</v>
      </c>
      <c r="B122" s="607"/>
      <c r="C122" s="607"/>
      <c r="D122" s="607"/>
      <c r="E122" s="607"/>
      <c r="F122" s="607"/>
      <c r="G122" s="607"/>
      <c r="H122" s="608"/>
    </row>
    <row r="123" spans="1:9" ht="16.899999999999999" customHeight="1">
      <c r="A123" s="583" t="s">
        <v>490</v>
      </c>
      <c r="B123" s="584"/>
      <c r="C123" s="602" t="s">
        <v>497</v>
      </c>
      <c r="D123" s="603"/>
      <c r="E123" s="396" t="s">
        <v>122</v>
      </c>
      <c r="F123" s="150">
        <v>149688</v>
      </c>
      <c r="G123" s="150">
        <v>135000</v>
      </c>
      <c r="H123" s="397"/>
    </row>
    <row r="124" spans="1:9" ht="16.899999999999999" customHeight="1">
      <c r="A124" s="579" t="s">
        <v>491</v>
      </c>
      <c r="B124" s="580"/>
      <c r="C124" s="595" t="s">
        <v>498</v>
      </c>
      <c r="D124" s="596"/>
      <c r="E124" s="89" t="s">
        <v>122</v>
      </c>
      <c r="F124" s="35">
        <v>160914.6</v>
      </c>
      <c r="G124" s="35">
        <v>154800</v>
      </c>
      <c r="H124" s="198"/>
      <c r="I124" s="212"/>
    </row>
    <row r="125" spans="1:9" ht="16.899999999999999" customHeight="1" thickBot="1">
      <c r="A125" s="598" t="s">
        <v>492</v>
      </c>
      <c r="B125" s="599"/>
      <c r="C125" s="581" t="s">
        <v>499</v>
      </c>
      <c r="D125" s="582"/>
      <c r="E125" s="91" t="s">
        <v>122</v>
      </c>
      <c r="F125" s="141">
        <v>178378.2</v>
      </c>
      <c r="G125" s="141">
        <v>96480</v>
      </c>
      <c r="H125" s="349"/>
      <c r="I125" s="212"/>
    </row>
    <row r="126" spans="1:9" s="428" customFormat="1" ht="16.899999999999999" customHeight="1" thickBot="1">
      <c r="A126" s="504" t="s">
        <v>787</v>
      </c>
      <c r="B126" s="505"/>
      <c r="C126" s="505"/>
      <c r="D126" s="505"/>
      <c r="E126" s="505"/>
      <c r="F126" s="505"/>
      <c r="G126" s="505"/>
      <c r="H126" s="506"/>
      <c r="I126" s="431"/>
    </row>
    <row r="127" spans="1:9" ht="16.899999999999999" customHeight="1">
      <c r="A127" s="576" t="s">
        <v>742</v>
      </c>
      <c r="B127" s="577"/>
      <c r="C127" s="590" t="s">
        <v>786</v>
      </c>
      <c r="D127" s="590"/>
      <c r="E127" s="376" t="s">
        <v>768</v>
      </c>
      <c r="F127" s="216">
        <f>G127*1.28</f>
        <v>141523.20000000001</v>
      </c>
      <c r="G127" s="216">
        <v>110565</v>
      </c>
      <c r="H127" s="377"/>
      <c r="I127" s="212"/>
    </row>
    <row r="128" spans="1:9" ht="16.899999999999999" customHeight="1">
      <c r="A128" s="579" t="s">
        <v>743</v>
      </c>
      <c r="B128" s="580"/>
      <c r="C128" s="585" t="s">
        <v>786</v>
      </c>
      <c r="D128" s="585"/>
      <c r="E128" s="89" t="s">
        <v>769</v>
      </c>
      <c r="F128" s="35">
        <f>G128*1.28</f>
        <v>143020.80000000002</v>
      </c>
      <c r="G128" s="35">
        <v>111735</v>
      </c>
      <c r="H128" s="180"/>
      <c r="I128" s="212"/>
    </row>
    <row r="129" spans="1:9" ht="16.899999999999999" customHeight="1">
      <c r="A129" s="579" t="s">
        <v>744</v>
      </c>
      <c r="B129" s="580"/>
      <c r="C129" s="585" t="s">
        <v>786</v>
      </c>
      <c r="D129" s="585"/>
      <c r="E129" s="89" t="s">
        <v>770</v>
      </c>
      <c r="F129" s="35">
        <f>G129*1.28</f>
        <v>145267.20000000001</v>
      </c>
      <c r="G129" s="35">
        <v>113490</v>
      </c>
      <c r="H129" s="180"/>
      <c r="I129" s="212"/>
    </row>
    <row r="130" spans="1:9" ht="16.899999999999999" customHeight="1">
      <c r="A130" s="579" t="s">
        <v>745</v>
      </c>
      <c r="B130" s="580"/>
      <c r="C130" s="585" t="s">
        <v>786</v>
      </c>
      <c r="D130" s="585"/>
      <c r="E130" s="89" t="s">
        <v>771</v>
      </c>
      <c r="F130" s="35">
        <f>G130*1.28</f>
        <v>190944</v>
      </c>
      <c r="G130" s="35">
        <v>149175</v>
      </c>
      <c r="H130" s="180"/>
      <c r="I130" s="212"/>
    </row>
    <row r="131" spans="1:9" ht="16.899999999999999" customHeight="1">
      <c r="A131" s="579" t="s">
        <v>746</v>
      </c>
      <c r="B131" s="580"/>
      <c r="C131" s="585" t="s">
        <v>786</v>
      </c>
      <c r="D131" s="585"/>
      <c r="E131" s="89" t="s">
        <v>772</v>
      </c>
      <c r="F131" s="35">
        <f>G131*1.28</f>
        <v>195436.80000000002</v>
      </c>
      <c r="G131" s="35">
        <v>152685</v>
      </c>
      <c r="H131" s="180"/>
      <c r="I131" s="212"/>
    </row>
    <row r="132" spans="1:9" ht="16.899999999999999" customHeight="1">
      <c r="A132" s="579" t="s">
        <v>747</v>
      </c>
      <c r="B132" s="580"/>
      <c r="C132" s="585" t="s">
        <v>786</v>
      </c>
      <c r="D132" s="585"/>
      <c r="E132" s="89" t="s">
        <v>773</v>
      </c>
      <c r="F132" s="35">
        <f>G132*1.28</f>
        <v>203673.60000000001</v>
      </c>
      <c r="G132" s="35">
        <v>159120</v>
      </c>
      <c r="H132" s="180"/>
      <c r="I132" s="212"/>
    </row>
    <row r="133" spans="1:9" ht="16.899999999999999" customHeight="1">
      <c r="A133" s="579" t="s">
        <v>748</v>
      </c>
      <c r="B133" s="580"/>
      <c r="C133" s="585" t="s">
        <v>786</v>
      </c>
      <c r="D133" s="585"/>
      <c r="E133" s="89" t="s">
        <v>774</v>
      </c>
      <c r="F133" s="35">
        <f>G133*1.28</f>
        <v>247104</v>
      </c>
      <c r="G133" s="35">
        <v>193050</v>
      </c>
      <c r="H133" s="180"/>
      <c r="I133" s="212"/>
    </row>
    <row r="134" spans="1:9" ht="16.899999999999999" customHeight="1">
      <c r="A134" s="579" t="s">
        <v>749</v>
      </c>
      <c r="B134" s="580"/>
      <c r="C134" s="585" t="s">
        <v>786</v>
      </c>
      <c r="D134" s="585"/>
      <c r="E134" s="89" t="s">
        <v>775</v>
      </c>
      <c r="F134" s="35">
        <f>G134*1.28</f>
        <v>260582.39999999999</v>
      </c>
      <c r="G134" s="35">
        <v>203580</v>
      </c>
      <c r="H134" s="180"/>
      <c r="I134" s="212"/>
    </row>
    <row r="135" spans="1:9" ht="16.899999999999999" customHeight="1">
      <c r="A135" s="579" t="s">
        <v>750</v>
      </c>
      <c r="B135" s="580"/>
      <c r="C135" s="585" t="s">
        <v>786</v>
      </c>
      <c r="D135" s="585"/>
      <c r="E135" s="89" t="s">
        <v>776</v>
      </c>
      <c r="F135" s="35">
        <f>G135*1.28</f>
        <v>262080</v>
      </c>
      <c r="G135" s="35">
        <v>204750</v>
      </c>
      <c r="H135" s="180"/>
      <c r="I135" s="212"/>
    </row>
    <row r="136" spans="1:9" ht="16.899999999999999" customHeight="1">
      <c r="A136" s="579" t="s">
        <v>751</v>
      </c>
      <c r="B136" s="580"/>
      <c r="C136" s="585" t="s">
        <v>786</v>
      </c>
      <c r="D136" s="585"/>
      <c r="E136" s="89" t="s">
        <v>777</v>
      </c>
      <c r="F136" s="35">
        <f>G136*1.28</f>
        <v>277804.79999999999</v>
      </c>
      <c r="G136" s="35">
        <v>217035</v>
      </c>
      <c r="H136" s="180"/>
      <c r="I136" s="212"/>
    </row>
    <row r="137" spans="1:9" ht="16.899999999999999" customHeight="1">
      <c r="A137" s="472" t="s">
        <v>814</v>
      </c>
      <c r="B137" s="473"/>
      <c r="C137" s="474" t="s">
        <v>813</v>
      </c>
      <c r="D137" s="474"/>
      <c r="E137" s="108" t="s">
        <v>769</v>
      </c>
      <c r="F137" s="362">
        <f>G137*1.28</f>
        <v>221122.30400000003</v>
      </c>
      <c r="G137" s="362">
        <f>454.61*380</f>
        <v>172751.80000000002</v>
      </c>
      <c r="H137" s="423"/>
      <c r="I137" s="212"/>
    </row>
    <row r="138" spans="1:9" ht="16.899999999999999" customHeight="1">
      <c r="A138" s="472" t="s">
        <v>815</v>
      </c>
      <c r="B138" s="473"/>
      <c r="C138" s="474" t="s">
        <v>813</v>
      </c>
      <c r="D138" s="474"/>
      <c r="E138" s="108" t="s">
        <v>770</v>
      </c>
      <c r="F138" s="362">
        <f>G138*1.28</f>
        <v>230164.48000000001</v>
      </c>
      <c r="G138" s="362">
        <f>473.2*380</f>
        <v>179816</v>
      </c>
      <c r="H138" s="423"/>
      <c r="I138" s="212"/>
    </row>
    <row r="139" spans="1:9" ht="16.899999999999999" customHeight="1">
      <c r="A139" s="472" t="s">
        <v>816</v>
      </c>
      <c r="B139" s="473"/>
      <c r="C139" s="474" t="s">
        <v>813</v>
      </c>
      <c r="D139" s="474"/>
      <c r="E139" s="108" t="s">
        <v>771</v>
      </c>
      <c r="F139" s="362">
        <f>G139*1.28</f>
        <v>254002.94400000002</v>
      </c>
      <c r="G139" s="362">
        <f>522.21*380</f>
        <v>198439.80000000002</v>
      </c>
      <c r="H139" s="423"/>
      <c r="I139" s="212"/>
    </row>
    <row r="140" spans="1:9" ht="16.899999999999999" customHeight="1">
      <c r="A140" s="472" t="s">
        <v>817</v>
      </c>
      <c r="B140" s="473"/>
      <c r="C140" s="474" t="s">
        <v>813</v>
      </c>
      <c r="D140" s="474"/>
      <c r="E140" s="108" t="s">
        <v>772</v>
      </c>
      <c r="F140" s="362">
        <f>G140*1.28</f>
        <v>260579.07199999999</v>
      </c>
      <c r="G140" s="362">
        <f>535.73*380</f>
        <v>203577.4</v>
      </c>
      <c r="H140" s="423"/>
      <c r="I140" s="212"/>
    </row>
    <row r="141" spans="1:9" ht="16.899999999999999" customHeight="1">
      <c r="A141" s="472" t="s">
        <v>818</v>
      </c>
      <c r="B141" s="473"/>
      <c r="C141" s="474" t="s">
        <v>813</v>
      </c>
      <c r="D141" s="474"/>
      <c r="E141" s="108" t="s">
        <v>773</v>
      </c>
      <c r="F141" s="362">
        <f>G141*1.28</f>
        <v>267155.20000000001</v>
      </c>
      <c r="G141" s="362">
        <f>549.25*380</f>
        <v>208715</v>
      </c>
      <c r="H141" s="423"/>
      <c r="I141" s="212"/>
    </row>
    <row r="142" spans="1:9" ht="16.899999999999999" customHeight="1">
      <c r="A142" s="472" t="s">
        <v>819</v>
      </c>
      <c r="B142" s="473"/>
      <c r="C142" s="474" t="s">
        <v>813</v>
      </c>
      <c r="D142" s="474"/>
      <c r="E142" s="108" t="s">
        <v>775</v>
      </c>
      <c r="F142" s="362">
        <f>G142*1.28</f>
        <v>290993.66399999999</v>
      </c>
      <c r="G142" s="362">
        <f>598.26*380</f>
        <v>227338.8</v>
      </c>
      <c r="H142" s="423"/>
      <c r="I142" s="212"/>
    </row>
    <row r="143" spans="1:9" ht="16.899999999999999" customHeight="1">
      <c r="A143" s="472" t="s">
        <v>820</v>
      </c>
      <c r="B143" s="473"/>
      <c r="C143" s="474" t="s">
        <v>813</v>
      </c>
      <c r="D143" s="474"/>
      <c r="E143" s="108" t="s">
        <v>776</v>
      </c>
      <c r="F143" s="362">
        <f>G143*1.28</f>
        <v>304145.91999999998</v>
      </c>
      <c r="G143" s="362">
        <f>625.3*380</f>
        <v>237613.99999999997</v>
      </c>
      <c r="H143" s="423"/>
      <c r="I143" s="212"/>
    </row>
    <row r="144" spans="1:9" ht="16.899999999999999" customHeight="1">
      <c r="A144" s="472" t="s">
        <v>821</v>
      </c>
      <c r="B144" s="473"/>
      <c r="C144" s="474" t="s">
        <v>813</v>
      </c>
      <c r="D144" s="474"/>
      <c r="E144" s="108" t="s">
        <v>777</v>
      </c>
      <c r="F144" s="362">
        <f>G144*1.28</f>
        <v>316476.16000000003</v>
      </c>
      <c r="G144" s="362">
        <f>650.65*380</f>
        <v>247247</v>
      </c>
      <c r="H144" s="423"/>
      <c r="I144" s="212"/>
    </row>
    <row r="145" spans="1:9" ht="16.899999999999999" customHeight="1">
      <c r="A145" s="579" t="s">
        <v>752</v>
      </c>
      <c r="B145" s="580"/>
      <c r="C145" s="585" t="s">
        <v>767</v>
      </c>
      <c r="D145" s="585"/>
      <c r="E145" s="89" t="s">
        <v>768</v>
      </c>
      <c r="F145" s="35">
        <f>G145*1.28</f>
        <v>109670.40000000001</v>
      </c>
      <c r="G145" s="35">
        <v>85680</v>
      </c>
      <c r="H145" s="180"/>
      <c r="I145" s="212"/>
    </row>
    <row r="146" spans="1:9" ht="16.899999999999999" customHeight="1">
      <c r="A146" s="579" t="s">
        <v>753</v>
      </c>
      <c r="B146" s="580"/>
      <c r="C146" s="585" t="s">
        <v>767</v>
      </c>
      <c r="D146" s="585"/>
      <c r="E146" s="89" t="s">
        <v>769</v>
      </c>
      <c r="F146" s="35">
        <f>G146*1.28</f>
        <v>114739.2</v>
      </c>
      <c r="G146" s="35">
        <v>89640</v>
      </c>
      <c r="H146" s="180"/>
      <c r="I146" s="212"/>
    </row>
    <row r="147" spans="1:9" ht="16.899999999999999" customHeight="1">
      <c r="A147" s="579" t="s">
        <v>754</v>
      </c>
      <c r="B147" s="580"/>
      <c r="C147" s="585" t="s">
        <v>767</v>
      </c>
      <c r="D147" s="585"/>
      <c r="E147" s="89" t="s">
        <v>770</v>
      </c>
      <c r="F147" s="35">
        <f>G147*1.28</f>
        <v>120268.8</v>
      </c>
      <c r="G147" s="35">
        <v>93960</v>
      </c>
      <c r="H147" s="180"/>
      <c r="I147" s="212"/>
    </row>
    <row r="148" spans="1:9" ht="16.899999999999999" customHeight="1">
      <c r="A148" s="579" t="s">
        <v>755</v>
      </c>
      <c r="B148" s="580"/>
      <c r="C148" s="585" t="s">
        <v>767</v>
      </c>
      <c r="D148" s="585"/>
      <c r="E148" s="89" t="s">
        <v>771</v>
      </c>
      <c r="F148" s="35">
        <f>G148*1.28</f>
        <v>133632</v>
      </c>
      <c r="G148" s="35">
        <v>104400</v>
      </c>
      <c r="H148" s="180"/>
      <c r="I148" s="212"/>
    </row>
    <row r="149" spans="1:9" ht="16.899999999999999" customHeight="1">
      <c r="A149" s="579" t="s">
        <v>756</v>
      </c>
      <c r="B149" s="580"/>
      <c r="C149" s="585" t="s">
        <v>767</v>
      </c>
      <c r="D149" s="585"/>
      <c r="E149" s="89" t="s">
        <v>772</v>
      </c>
      <c r="F149" s="35">
        <f>G149*1.28</f>
        <v>138700.79999999999</v>
      </c>
      <c r="G149" s="35">
        <v>108360</v>
      </c>
      <c r="H149" s="180"/>
      <c r="I149" s="212"/>
    </row>
    <row r="150" spans="1:9" ht="16.899999999999999" customHeight="1">
      <c r="A150" s="579" t="s">
        <v>757</v>
      </c>
      <c r="B150" s="580"/>
      <c r="C150" s="585" t="s">
        <v>767</v>
      </c>
      <c r="D150" s="585"/>
      <c r="E150" s="89" t="s">
        <v>773</v>
      </c>
      <c r="F150" s="35">
        <f>G150*1.28</f>
        <v>152985.60000000001</v>
      </c>
      <c r="G150" s="35">
        <v>119520</v>
      </c>
      <c r="H150" s="180"/>
      <c r="I150" s="212"/>
    </row>
    <row r="151" spans="1:9" ht="16.899999999999999" customHeight="1">
      <c r="A151" s="579" t="s">
        <v>758</v>
      </c>
      <c r="B151" s="580"/>
      <c r="C151" s="585" t="s">
        <v>767</v>
      </c>
      <c r="D151" s="585"/>
      <c r="E151" s="89" t="s">
        <v>774</v>
      </c>
      <c r="F151" s="35">
        <f>G151*1.28</f>
        <v>158976</v>
      </c>
      <c r="G151" s="35">
        <v>124200</v>
      </c>
      <c r="H151" s="180"/>
      <c r="I151" s="212"/>
    </row>
    <row r="152" spans="1:9" ht="16.899999999999999" customHeight="1">
      <c r="A152" s="579" t="s">
        <v>759</v>
      </c>
      <c r="B152" s="580"/>
      <c r="C152" s="585" t="s">
        <v>767</v>
      </c>
      <c r="D152" s="585"/>
      <c r="E152" s="89" t="s">
        <v>775</v>
      </c>
      <c r="F152" s="35">
        <f>G152*1.28</f>
        <v>171417.60000000001</v>
      </c>
      <c r="G152" s="35">
        <v>133920</v>
      </c>
      <c r="H152" s="180"/>
      <c r="I152" s="212"/>
    </row>
    <row r="153" spans="1:9" ht="16.899999999999999" customHeight="1">
      <c r="A153" s="579" t="s">
        <v>760</v>
      </c>
      <c r="B153" s="580"/>
      <c r="C153" s="585" t="s">
        <v>785</v>
      </c>
      <c r="D153" s="585"/>
      <c r="E153" s="89" t="s">
        <v>778</v>
      </c>
      <c r="F153" s="35">
        <f>G153*1.28</f>
        <v>1936281.6000000001</v>
      </c>
      <c r="G153" s="35">
        <v>1512720</v>
      </c>
      <c r="H153" s="180" t="s">
        <v>287</v>
      </c>
      <c r="I153" s="212"/>
    </row>
    <row r="154" spans="1:9" ht="16.899999999999999" customHeight="1">
      <c r="A154" s="579" t="s">
        <v>761</v>
      </c>
      <c r="B154" s="580"/>
      <c r="C154" s="585" t="s">
        <v>785</v>
      </c>
      <c r="D154" s="585"/>
      <c r="E154" s="89" t="s">
        <v>779</v>
      </c>
      <c r="F154" s="35">
        <f>G154*1.28</f>
        <v>2144563.2000000002</v>
      </c>
      <c r="G154" s="35">
        <v>1675440</v>
      </c>
      <c r="H154" s="180"/>
      <c r="I154" s="212"/>
    </row>
    <row r="155" spans="1:9" ht="16.899999999999999" customHeight="1">
      <c r="A155" s="579" t="s">
        <v>762</v>
      </c>
      <c r="B155" s="580"/>
      <c r="C155" s="585" t="s">
        <v>785</v>
      </c>
      <c r="D155" s="585"/>
      <c r="E155" s="89" t="s">
        <v>780</v>
      </c>
      <c r="F155" s="35">
        <f>G155*1.28</f>
        <v>2514585.6000000001</v>
      </c>
      <c r="G155" s="35">
        <v>1964520</v>
      </c>
      <c r="H155" s="180"/>
      <c r="I155" s="212"/>
    </row>
    <row r="156" spans="1:9" ht="16.899999999999999" customHeight="1">
      <c r="A156" s="579" t="s">
        <v>763</v>
      </c>
      <c r="B156" s="580"/>
      <c r="C156" s="585" t="s">
        <v>785</v>
      </c>
      <c r="D156" s="585"/>
      <c r="E156" s="89" t="s">
        <v>781</v>
      </c>
      <c r="F156" s="35">
        <f>G156*1.28</f>
        <v>2554214.3999999999</v>
      </c>
      <c r="G156" s="35">
        <v>1995480</v>
      </c>
      <c r="H156" s="180" t="s">
        <v>287</v>
      </c>
      <c r="I156" s="212"/>
    </row>
    <row r="157" spans="1:9" ht="16.899999999999999" customHeight="1">
      <c r="A157" s="579" t="s">
        <v>764</v>
      </c>
      <c r="B157" s="580"/>
      <c r="C157" s="585" t="s">
        <v>785</v>
      </c>
      <c r="D157" s="585"/>
      <c r="E157" s="89" t="s">
        <v>782</v>
      </c>
      <c r="F157" s="35">
        <f>G157*1.28</f>
        <v>3208550.3999999999</v>
      </c>
      <c r="G157" s="35">
        <v>2506680</v>
      </c>
      <c r="H157" s="180" t="s">
        <v>287</v>
      </c>
      <c r="I157" s="212"/>
    </row>
    <row r="158" spans="1:9" ht="16.899999999999999" customHeight="1">
      <c r="A158" s="579" t="s">
        <v>765</v>
      </c>
      <c r="B158" s="580"/>
      <c r="C158" s="585" t="s">
        <v>785</v>
      </c>
      <c r="D158" s="585"/>
      <c r="E158" s="89" t="s">
        <v>783</v>
      </c>
      <c r="F158" s="35">
        <f>G158*1.28</f>
        <v>3226060.8000000003</v>
      </c>
      <c r="G158" s="35">
        <v>2520360</v>
      </c>
      <c r="H158" s="180"/>
      <c r="I158" s="212"/>
    </row>
    <row r="159" spans="1:9" ht="16.899999999999999" customHeight="1" thickBot="1">
      <c r="A159" s="686" t="s">
        <v>766</v>
      </c>
      <c r="B159" s="687"/>
      <c r="C159" s="685" t="s">
        <v>785</v>
      </c>
      <c r="D159" s="685"/>
      <c r="E159" s="378" t="s">
        <v>784</v>
      </c>
      <c r="F159" s="217">
        <f>G159*1.28</f>
        <v>3401164.8000000003</v>
      </c>
      <c r="G159" s="217">
        <v>2657160</v>
      </c>
      <c r="H159" s="379"/>
      <c r="I159" s="212"/>
    </row>
    <row r="160" spans="1:9" ht="16.899999999999999" customHeight="1" thickBot="1">
      <c r="A160" s="573" t="s">
        <v>563</v>
      </c>
      <c r="B160" s="574"/>
      <c r="C160" s="574"/>
      <c r="D160" s="574"/>
      <c r="E160" s="574"/>
      <c r="F160" s="574"/>
      <c r="G160" s="574"/>
      <c r="H160" s="575"/>
    </row>
    <row r="161" spans="1:8" ht="16.149999999999999" customHeight="1">
      <c r="A161" s="576" t="s">
        <v>560</v>
      </c>
      <c r="B161" s="577"/>
      <c r="C161" s="578"/>
      <c r="D161" s="578"/>
      <c r="E161" s="374" t="s">
        <v>1</v>
      </c>
      <c r="F161" s="274">
        <f>G161*1.28</f>
        <v>13132.800000000001</v>
      </c>
      <c r="G161" s="161">
        <v>10260</v>
      </c>
      <c r="H161" s="316"/>
    </row>
    <row r="162" spans="1:8" ht="16.149999999999999" customHeight="1">
      <c r="A162" s="579" t="s">
        <v>561</v>
      </c>
      <c r="B162" s="580"/>
      <c r="C162" s="588"/>
      <c r="D162" s="588"/>
      <c r="E162" s="29" t="s">
        <v>1</v>
      </c>
      <c r="F162" s="119">
        <f>G162*1.28</f>
        <v>16537.599999999999</v>
      </c>
      <c r="G162" s="112">
        <v>12920</v>
      </c>
      <c r="H162" s="197"/>
    </row>
    <row r="163" spans="1:8" ht="16.149999999999999" customHeight="1">
      <c r="A163" s="579" t="s">
        <v>562</v>
      </c>
      <c r="B163" s="580"/>
      <c r="C163" s="588"/>
      <c r="D163" s="588"/>
      <c r="E163" s="29" t="s">
        <v>1</v>
      </c>
      <c r="F163" s="119">
        <f>G163*1.28</f>
        <v>24806.400000000001</v>
      </c>
      <c r="G163" s="112">
        <v>19380</v>
      </c>
      <c r="H163" s="197"/>
    </row>
    <row r="164" spans="1:8" ht="16.149999999999999" customHeight="1">
      <c r="A164" s="579" t="s">
        <v>741</v>
      </c>
      <c r="B164" s="580"/>
      <c r="C164" s="588"/>
      <c r="D164" s="588"/>
      <c r="E164" s="29" t="s">
        <v>1</v>
      </c>
      <c r="F164" s="119">
        <f>G164*1.28</f>
        <v>43289.599999999999</v>
      </c>
      <c r="G164" s="112">
        <v>33820</v>
      </c>
      <c r="H164" s="197"/>
    </row>
    <row r="165" spans="1:8" ht="16.149999999999999" customHeight="1">
      <c r="A165" s="579" t="s">
        <v>822</v>
      </c>
      <c r="B165" s="580"/>
      <c r="C165" s="588"/>
      <c r="D165" s="588"/>
      <c r="E165" s="29" t="s">
        <v>1</v>
      </c>
      <c r="F165" s="119">
        <f>G165*1.28</f>
        <v>55449.599999999999</v>
      </c>
      <c r="G165" s="112">
        <v>43320</v>
      </c>
      <c r="H165" s="197" t="s">
        <v>791</v>
      </c>
    </row>
    <row r="166" spans="1:8" ht="16.149999999999999" customHeight="1">
      <c r="A166" s="579" t="s">
        <v>823</v>
      </c>
      <c r="B166" s="580"/>
      <c r="C166" s="588"/>
      <c r="D166" s="588"/>
      <c r="E166" s="29" t="s">
        <v>1</v>
      </c>
      <c r="F166" s="119">
        <f>G166*1.28</f>
        <v>83660.800000000003</v>
      </c>
      <c r="G166" s="112">
        <v>65360</v>
      </c>
      <c r="H166" s="197" t="s">
        <v>791</v>
      </c>
    </row>
    <row r="167" spans="1:8" ht="16.149999999999999" customHeight="1">
      <c r="A167" s="579" t="s">
        <v>824</v>
      </c>
      <c r="B167" s="580"/>
      <c r="C167" s="588"/>
      <c r="D167" s="588"/>
      <c r="E167" s="29" t="s">
        <v>1</v>
      </c>
      <c r="F167" s="119">
        <f>G167*1.28</f>
        <v>40371.200000000004</v>
      </c>
      <c r="G167" s="112">
        <v>31540</v>
      </c>
      <c r="H167" s="197"/>
    </row>
    <row r="168" spans="1:8" ht="16.149999999999999" customHeight="1">
      <c r="A168" s="579" t="s">
        <v>825</v>
      </c>
      <c r="B168" s="580"/>
      <c r="C168" s="588"/>
      <c r="D168" s="588"/>
      <c r="E168" s="29" t="s">
        <v>1</v>
      </c>
      <c r="F168" s="119">
        <f>G168*1.28</f>
        <v>85606.400000000009</v>
      </c>
      <c r="G168" s="112">
        <v>66880</v>
      </c>
      <c r="H168" s="197"/>
    </row>
    <row r="169" spans="1:8" ht="16.149999999999999" customHeight="1" thickBot="1">
      <c r="A169" s="579" t="s">
        <v>826</v>
      </c>
      <c r="B169" s="580"/>
      <c r="C169" s="589"/>
      <c r="D169" s="589"/>
      <c r="E169" s="375" t="s">
        <v>1</v>
      </c>
      <c r="F169" s="278">
        <f>G169*1.28</f>
        <v>127923.2</v>
      </c>
      <c r="G169" s="132">
        <v>99940</v>
      </c>
      <c r="H169" s="318"/>
    </row>
    <row r="170" spans="1:8" ht="17.45" customHeight="1" thickBot="1">
      <c r="A170" s="534" t="s">
        <v>104</v>
      </c>
      <c r="B170" s="535"/>
      <c r="C170" s="535"/>
      <c r="D170" s="535"/>
      <c r="E170" s="535"/>
      <c r="F170" s="535"/>
      <c r="G170" s="535"/>
      <c r="H170" s="536"/>
    </row>
    <row r="171" spans="1:8" s="428" customFormat="1" ht="18" customHeight="1" thickBot="1">
      <c r="A171" s="560" t="s">
        <v>318</v>
      </c>
      <c r="B171" s="561"/>
      <c r="C171" s="561"/>
      <c r="D171" s="561"/>
      <c r="E171" s="561"/>
      <c r="F171" s="561"/>
      <c r="G171" s="561"/>
      <c r="H171" s="562"/>
    </row>
    <row r="172" spans="1:8" ht="13.15" customHeight="1">
      <c r="A172" s="563" t="s">
        <v>12</v>
      </c>
      <c r="B172" s="564"/>
      <c r="C172" s="565" t="s">
        <v>45</v>
      </c>
      <c r="D172" s="566"/>
      <c r="E172" s="237" t="s">
        <v>1</v>
      </c>
      <c r="F172" s="144">
        <v>669</v>
      </c>
      <c r="G172" s="144">
        <v>600</v>
      </c>
      <c r="H172" s="238"/>
    </row>
    <row r="173" spans="1:8" ht="13.15" customHeight="1" thickBot="1">
      <c r="A173" s="513" t="s">
        <v>44</v>
      </c>
      <c r="B173" s="514"/>
      <c r="C173" s="586" t="s">
        <v>46</v>
      </c>
      <c r="D173" s="587"/>
      <c r="E173" s="229" t="s">
        <v>1</v>
      </c>
      <c r="F173" s="135">
        <v>669</v>
      </c>
      <c r="G173" s="135">
        <v>600</v>
      </c>
      <c r="H173" s="232"/>
    </row>
    <row r="174" spans="1:8" s="428" customFormat="1" ht="15" customHeight="1" thickBot="1">
      <c r="A174" s="560" t="s">
        <v>13</v>
      </c>
      <c r="B174" s="561"/>
      <c r="C174" s="561"/>
      <c r="D174" s="561"/>
      <c r="E174" s="561"/>
      <c r="F174" s="561"/>
      <c r="G174" s="561"/>
      <c r="H174" s="562"/>
    </row>
    <row r="175" spans="1:8" ht="13.15" customHeight="1">
      <c r="A175" s="563" t="s">
        <v>284</v>
      </c>
      <c r="B175" s="564"/>
      <c r="C175" s="565" t="s">
        <v>14</v>
      </c>
      <c r="D175" s="566"/>
      <c r="E175" s="239" t="s">
        <v>26</v>
      </c>
      <c r="F175" s="144">
        <f>G175*1.25</f>
        <v>43012.5</v>
      </c>
      <c r="G175" s="144">
        <v>34410</v>
      </c>
      <c r="H175" s="227" t="s">
        <v>287</v>
      </c>
    </row>
    <row r="176" spans="1:8" ht="13.15" customHeight="1">
      <c r="A176" s="591" t="s">
        <v>568</v>
      </c>
      <c r="B176" s="592"/>
      <c r="C176" s="593" t="s">
        <v>14</v>
      </c>
      <c r="D176" s="594"/>
      <c r="E176" s="113" t="s">
        <v>26</v>
      </c>
      <c r="F176" s="112">
        <f>G176*1.25</f>
        <v>46250</v>
      </c>
      <c r="G176" s="112">
        <v>37000</v>
      </c>
      <c r="H176" s="197" t="s">
        <v>287</v>
      </c>
    </row>
    <row r="177" spans="1:9" ht="13.15" customHeight="1">
      <c r="A177" s="513" t="s">
        <v>283</v>
      </c>
      <c r="B177" s="514"/>
      <c r="C177" s="586" t="s">
        <v>82</v>
      </c>
      <c r="D177" s="587"/>
      <c r="E177" s="233" t="s">
        <v>26</v>
      </c>
      <c r="F177" s="135">
        <f>G177*1.25</f>
        <v>43012.5</v>
      </c>
      <c r="G177" s="135">
        <v>34410</v>
      </c>
      <c r="H177" s="223"/>
    </row>
    <row r="178" spans="1:9" ht="13.15" customHeight="1">
      <c r="A178" s="513" t="s">
        <v>726</v>
      </c>
      <c r="B178" s="514"/>
      <c r="C178" s="586" t="s">
        <v>731</v>
      </c>
      <c r="D178" s="587"/>
      <c r="E178" s="233" t="s">
        <v>26</v>
      </c>
      <c r="F178" s="135">
        <f>G178*1.25</f>
        <v>43012.5</v>
      </c>
      <c r="G178" s="135">
        <v>34410</v>
      </c>
      <c r="H178" s="223"/>
    </row>
    <row r="179" spans="1:9" ht="13.15" customHeight="1">
      <c r="A179" s="513" t="s">
        <v>727</v>
      </c>
      <c r="B179" s="514"/>
      <c r="C179" s="586" t="s">
        <v>82</v>
      </c>
      <c r="D179" s="587"/>
      <c r="E179" s="233" t="s">
        <v>26</v>
      </c>
      <c r="F179" s="135">
        <f>G179*1.25</f>
        <v>43012.5</v>
      </c>
      <c r="G179" s="135">
        <v>34410</v>
      </c>
      <c r="H179" s="223"/>
    </row>
    <row r="180" spans="1:9" ht="13.15" customHeight="1">
      <c r="A180" s="513" t="s">
        <v>728</v>
      </c>
      <c r="B180" s="514"/>
      <c r="C180" s="586" t="s">
        <v>82</v>
      </c>
      <c r="D180" s="587"/>
      <c r="E180" s="233" t="s">
        <v>26</v>
      </c>
      <c r="F180" s="135">
        <f>G180*1.25</f>
        <v>46250</v>
      </c>
      <c r="G180" s="135">
        <v>37000</v>
      </c>
      <c r="H180" s="223" t="s">
        <v>287</v>
      </c>
    </row>
    <row r="181" spans="1:9" ht="13.15" customHeight="1" thickBot="1">
      <c r="A181" s="513" t="s">
        <v>729</v>
      </c>
      <c r="B181" s="514"/>
      <c r="C181" s="586" t="s">
        <v>730</v>
      </c>
      <c r="D181" s="587"/>
      <c r="E181" s="233" t="s">
        <v>26</v>
      </c>
      <c r="F181" s="135">
        <f>G181*1.25</f>
        <v>18500</v>
      </c>
      <c r="G181" s="135">
        <v>14800</v>
      </c>
      <c r="H181" s="223" t="s">
        <v>287</v>
      </c>
    </row>
    <row r="182" spans="1:9" s="428" customFormat="1" ht="15" customHeight="1" thickBot="1">
      <c r="A182" s="560" t="s">
        <v>27</v>
      </c>
      <c r="B182" s="561"/>
      <c r="C182" s="561"/>
      <c r="D182" s="561"/>
      <c r="E182" s="561"/>
      <c r="F182" s="561"/>
      <c r="G182" s="561"/>
      <c r="H182" s="562"/>
    </row>
    <row r="183" spans="1:9" ht="12.75" customHeight="1">
      <c r="A183" s="567" t="s">
        <v>15</v>
      </c>
      <c r="B183" s="568"/>
      <c r="C183" s="569" t="s">
        <v>28</v>
      </c>
      <c r="D183" s="570"/>
      <c r="E183" s="292" t="s">
        <v>16</v>
      </c>
      <c r="F183" s="150">
        <f>G183*1.25</f>
        <v>8532.5</v>
      </c>
      <c r="G183" s="150">
        <v>6826</v>
      </c>
      <c r="H183" s="222"/>
      <c r="I183" s="212"/>
    </row>
    <row r="184" spans="1:9" ht="12.75" customHeight="1">
      <c r="A184" s="571" t="s">
        <v>508</v>
      </c>
      <c r="B184" s="572"/>
      <c r="C184" s="555" t="s">
        <v>28</v>
      </c>
      <c r="D184" s="556"/>
      <c r="E184" s="158" t="s">
        <v>16</v>
      </c>
      <c r="F184" s="35">
        <f>G184*1.25</f>
        <v>8532.5</v>
      </c>
      <c r="G184" s="35">
        <v>6826</v>
      </c>
      <c r="H184" s="293"/>
    </row>
    <row r="185" spans="1:9">
      <c r="A185" s="571" t="s">
        <v>17</v>
      </c>
      <c r="B185" s="572"/>
      <c r="C185" s="555" t="s">
        <v>29</v>
      </c>
      <c r="D185" s="556"/>
      <c r="E185" s="158" t="s">
        <v>16</v>
      </c>
      <c r="F185" s="35">
        <f>G185*1.25</f>
        <v>12820</v>
      </c>
      <c r="G185" s="35">
        <v>10256</v>
      </c>
      <c r="H185" s="198"/>
      <c r="I185" s="212"/>
    </row>
    <row r="186" spans="1:9">
      <c r="A186" s="571" t="s">
        <v>18</v>
      </c>
      <c r="B186" s="572"/>
      <c r="C186" s="555" t="s">
        <v>29</v>
      </c>
      <c r="D186" s="556"/>
      <c r="E186" s="158" t="s">
        <v>16</v>
      </c>
      <c r="F186" s="35">
        <f>G186*1.25</f>
        <v>17061.25</v>
      </c>
      <c r="G186" s="35">
        <v>13649</v>
      </c>
      <c r="H186" s="198"/>
      <c r="I186" s="212"/>
    </row>
    <row r="187" spans="1:9">
      <c r="A187" s="571" t="s">
        <v>19</v>
      </c>
      <c r="B187" s="572"/>
      <c r="C187" s="555" t="s">
        <v>30</v>
      </c>
      <c r="D187" s="556"/>
      <c r="E187" s="158" t="s">
        <v>16</v>
      </c>
      <c r="F187" s="35">
        <f>G187*1.25</f>
        <v>21215</v>
      </c>
      <c r="G187" s="35">
        <v>16972</v>
      </c>
      <c r="H187" s="198"/>
      <c r="I187" s="212"/>
    </row>
    <row r="188" spans="1:9" ht="12.75" customHeight="1">
      <c r="A188" s="616" t="s">
        <v>475</v>
      </c>
      <c r="B188" s="617"/>
      <c r="C188" s="626" t="s">
        <v>30</v>
      </c>
      <c r="D188" s="627"/>
      <c r="E188" s="294" t="s">
        <v>16</v>
      </c>
      <c r="F188" s="295">
        <f>G188*1.25</f>
        <v>26006.25</v>
      </c>
      <c r="G188" s="295">
        <v>20805</v>
      </c>
      <c r="H188" s="198"/>
    </row>
    <row r="189" spans="1:9" ht="12.75" customHeight="1">
      <c r="A189" s="571" t="s">
        <v>20</v>
      </c>
      <c r="B189" s="572"/>
      <c r="C189" s="555" t="s">
        <v>31</v>
      </c>
      <c r="D189" s="556"/>
      <c r="E189" s="158" t="s">
        <v>16</v>
      </c>
      <c r="F189" s="35">
        <f>G189*1.25</f>
        <v>26006.25</v>
      </c>
      <c r="G189" s="35">
        <v>20805</v>
      </c>
      <c r="H189" s="198"/>
      <c r="I189" s="212"/>
    </row>
    <row r="190" spans="1:9">
      <c r="A190" s="616" t="s">
        <v>149</v>
      </c>
      <c r="B190" s="617"/>
      <c r="C190" s="626" t="s">
        <v>31</v>
      </c>
      <c r="D190" s="627"/>
      <c r="E190" s="294" t="s">
        <v>16</v>
      </c>
      <c r="F190" s="295">
        <f>G190*1.25</f>
        <v>31025</v>
      </c>
      <c r="G190" s="295">
        <v>24820</v>
      </c>
      <c r="H190" s="197"/>
    </row>
    <row r="191" spans="1:9" ht="12.75" customHeight="1">
      <c r="A191" s="571" t="s">
        <v>476</v>
      </c>
      <c r="B191" s="572"/>
      <c r="C191" s="555" t="s">
        <v>480</v>
      </c>
      <c r="D191" s="556"/>
      <c r="E191" s="158" t="s">
        <v>481</v>
      </c>
      <c r="F191" s="35">
        <f>G191*1.25</f>
        <v>14416.25</v>
      </c>
      <c r="G191" s="35">
        <v>11533</v>
      </c>
      <c r="H191" s="197"/>
    </row>
    <row r="192" spans="1:9" ht="12.75" customHeight="1">
      <c r="A192" s="571" t="s">
        <v>477</v>
      </c>
      <c r="B192" s="572"/>
      <c r="C192" s="555" t="s">
        <v>480</v>
      </c>
      <c r="D192" s="556"/>
      <c r="E192" s="158" t="s">
        <v>481</v>
      </c>
      <c r="F192" s="35">
        <f>G192*1.25</f>
        <v>18431.25</v>
      </c>
      <c r="G192" s="35">
        <v>14745</v>
      </c>
      <c r="H192" s="197"/>
    </row>
    <row r="193" spans="1:8" ht="12.75" customHeight="1">
      <c r="A193" s="571" t="s">
        <v>478</v>
      </c>
      <c r="B193" s="572"/>
      <c r="C193" s="555" t="s">
        <v>480</v>
      </c>
      <c r="D193" s="556"/>
      <c r="E193" s="158" t="s">
        <v>481</v>
      </c>
      <c r="F193" s="35">
        <f>G193*1.25</f>
        <v>23222.5</v>
      </c>
      <c r="G193" s="35">
        <v>18578</v>
      </c>
      <c r="H193" s="197"/>
    </row>
    <row r="194" spans="1:8" ht="12.75" customHeight="1" thickBot="1">
      <c r="A194" s="640" t="s">
        <v>518</v>
      </c>
      <c r="B194" s="659"/>
      <c r="C194" s="515" t="s">
        <v>480</v>
      </c>
      <c r="D194" s="515"/>
      <c r="E194" s="234" t="s">
        <v>481</v>
      </c>
      <c r="F194" s="141">
        <f>G194*1.25</f>
        <v>28517.5</v>
      </c>
      <c r="G194" s="141">
        <v>22814</v>
      </c>
      <c r="H194" s="296"/>
    </row>
    <row r="195" spans="1:8" s="428" customFormat="1" ht="13.5" customHeight="1" thickBot="1">
      <c r="A195" s="618" t="s">
        <v>479</v>
      </c>
      <c r="B195" s="619"/>
      <c r="C195" s="619"/>
      <c r="D195" s="619"/>
      <c r="E195" s="619"/>
      <c r="F195" s="619"/>
      <c r="G195" s="619"/>
      <c r="H195" s="620"/>
    </row>
    <row r="196" spans="1:8" ht="12.75" customHeight="1">
      <c r="A196" s="621">
        <v>22</v>
      </c>
      <c r="B196" s="622"/>
      <c r="C196" s="623" t="s">
        <v>482</v>
      </c>
      <c r="D196" s="623"/>
      <c r="E196" s="297" t="s">
        <v>1</v>
      </c>
      <c r="F196" s="150">
        <f>G196*1.25</f>
        <v>287.5</v>
      </c>
      <c r="G196" s="150">
        <v>230</v>
      </c>
      <c r="H196" s="197" t="s">
        <v>287</v>
      </c>
    </row>
    <row r="197" spans="1:8">
      <c r="A197" s="624">
        <v>28</v>
      </c>
      <c r="B197" s="625"/>
      <c r="C197" s="615" t="s">
        <v>482</v>
      </c>
      <c r="D197" s="615"/>
      <c r="E197" s="294" t="s">
        <v>1</v>
      </c>
      <c r="F197" s="35">
        <f>G197*1.25</f>
        <v>593.75</v>
      </c>
      <c r="G197" s="35">
        <v>475</v>
      </c>
      <c r="H197" s="197" t="s">
        <v>287</v>
      </c>
    </row>
    <row r="198" spans="1:8">
      <c r="A198" s="624">
        <v>35</v>
      </c>
      <c r="B198" s="625"/>
      <c r="C198" s="615" t="s">
        <v>482</v>
      </c>
      <c r="D198" s="615"/>
      <c r="E198" s="294" t="s">
        <v>1</v>
      </c>
      <c r="F198" s="35">
        <f>G198*1.25</f>
        <v>906.25</v>
      </c>
      <c r="G198" s="35">
        <v>725</v>
      </c>
      <c r="H198" s="197"/>
    </row>
    <row r="199" spans="1:8" ht="13.5" thickBot="1">
      <c r="A199" s="671">
        <v>42</v>
      </c>
      <c r="B199" s="672"/>
      <c r="C199" s="662" t="s">
        <v>482</v>
      </c>
      <c r="D199" s="662"/>
      <c r="E199" s="298" t="s">
        <v>1</v>
      </c>
      <c r="F199" s="141">
        <f>G199*1.25</f>
        <v>1550</v>
      </c>
      <c r="G199" s="141">
        <v>1240</v>
      </c>
      <c r="H199" s="223"/>
    </row>
    <row r="200" spans="1:8" s="428" customFormat="1" ht="15.6" customHeight="1" thickBot="1">
      <c r="A200" s="618" t="s">
        <v>154</v>
      </c>
      <c r="B200" s="619"/>
      <c r="C200" s="619"/>
      <c r="D200" s="619"/>
      <c r="E200" s="619"/>
      <c r="F200" s="619"/>
      <c r="G200" s="619"/>
      <c r="H200" s="620"/>
    </row>
    <row r="201" spans="1:8" ht="15.6" customHeight="1">
      <c r="A201" s="563" t="s">
        <v>289</v>
      </c>
      <c r="B201" s="564"/>
      <c r="C201" s="623" t="s">
        <v>153</v>
      </c>
      <c r="D201" s="623"/>
      <c r="E201" s="239" t="s">
        <v>64</v>
      </c>
      <c r="F201" s="150">
        <f>G201*1.25</f>
        <v>5065</v>
      </c>
      <c r="G201" s="150">
        <v>4052</v>
      </c>
      <c r="H201" s="271"/>
    </row>
    <row r="202" spans="1:8" ht="15.6" customHeight="1">
      <c r="A202" s="591" t="s">
        <v>151</v>
      </c>
      <c r="B202" s="592"/>
      <c r="C202" s="615" t="s">
        <v>153</v>
      </c>
      <c r="D202" s="615"/>
      <c r="E202" s="113" t="s">
        <v>64</v>
      </c>
      <c r="F202" s="35">
        <f>G202*1.25</f>
        <v>5656.25</v>
      </c>
      <c r="G202" s="35">
        <v>4525</v>
      </c>
      <c r="H202" s="128"/>
    </row>
    <row r="203" spans="1:8" ht="15.6" customHeight="1">
      <c r="A203" s="591" t="s">
        <v>152</v>
      </c>
      <c r="B203" s="592"/>
      <c r="C203" s="615" t="s">
        <v>153</v>
      </c>
      <c r="D203" s="615"/>
      <c r="E203" s="158" t="s">
        <v>64</v>
      </c>
      <c r="F203" s="35">
        <f>G203*1.25</f>
        <v>8455</v>
      </c>
      <c r="G203" s="35">
        <v>6764</v>
      </c>
      <c r="H203" s="124"/>
    </row>
    <row r="204" spans="1:8" ht="15.6" customHeight="1">
      <c r="A204" s="591" t="s">
        <v>514</v>
      </c>
      <c r="B204" s="592"/>
      <c r="C204" s="615" t="s">
        <v>153</v>
      </c>
      <c r="D204" s="615"/>
      <c r="E204" s="158" t="s">
        <v>64</v>
      </c>
      <c r="F204" s="35">
        <f>G204*1.25</f>
        <v>6752.5</v>
      </c>
      <c r="G204" s="35">
        <v>5402</v>
      </c>
      <c r="H204" s="124"/>
    </row>
    <row r="205" spans="1:8" ht="15.6" customHeight="1">
      <c r="A205" s="591" t="s">
        <v>590</v>
      </c>
      <c r="B205" s="592"/>
      <c r="C205" s="615" t="s">
        <v>153</v>
      </c>
      <c r="D205" s="615"/>
      <c r="E205" s="158" t="s">
        <v>64</v>
      </c>
      <c r="F205" s="35">
        <f>G205*1.25</f>
        <v>7590</v>
      </c>
      <c r="G205" s="35">
        <v>6072</v>
      </c>
      <c r="H205" s="126" t="s">
        <v>287</v>
      </c>
    </row>
    <row r="206" spans="1:8" ht="15.6" customHeight="1">
      <c r="A206" s="591" t="s">
        <v>591</v>
      </c>
      <c r="B206" s="592"/>
      <c r="C206" s="615" t="s">
        <v>153</v>
      </c>
      <c r="D206" s="615"/>
      <c r="E206" s="158" t="s">
        <v>64</v>
      </c>
      <c r="F206" s="35">
        <f>G206*1.25</f>
        <v>8875</v>
      </c>
      <c r="G206" s="35">
        <v>7100</v>
      </c>
      <c r="H206" s="126" t="s">
        <v>287</v>
      </c>
    </row>
    <row r="207" spans="1:8" ht="15.6" customHeight="1">
      <c r="A207" s="591" t="s">
        <v>515</v>
      </c>
      <c r="B207" s="592"/>
      <c r="C207" s="615" t="s">
        <v>153</v>
      </c>
      <c r="D207" s="615"/>
      <c r="E207" s="158" t="s">
        <v>64</v>
      </c>
      <c r="F207" s="35">
        <f>G207*1.25</f>
        <v>8441.25</v>
      </c>
      <c r="G207" s="35">
        <v>6753</v>
      </c>
      <c r="H207" s="126"/>
    </row>
    <row r="208" spans="1:8" ht="15.6" customHeight="1">
      <c r="A208" s="591" t="s">
        <v>592</v>
      </c>
      <c r="B208" s="592"/>
      <c r="C208" s="615" t="s">
        <v>153</v>
      </c>
      <c r="D208" s="615"/>
      <c r="E208" s="158" t="s">
        <v>64</v>
      </c>
      <c r="F208" s="35">
        <f>G208*1.25</f>
        <v>10212.5</v>
      </c>
      <c r="G208" s="35">
        <v>8170</v>
      </c>
      <c r="H208" s="124" t="s">
        <v>287</v>
      </c>
    </row>
    <row r="209" spans="1:9" ht="15.6" customHeight="1">
      <c r="A209" s="591" t="s">
        <v>534</v>
      </c>
      <c r="B209" s="592"/>
      <c r="C209" s="615" t="s">
        <v>153</v>
      </c>
      <c r="D209" s="615"/>
      <c r="E209" s="158" t="s">
        <v>64</v>
      </c>
      <c r="F209" s="35">
        <f>G209*1.25</f>
        <v>12422.5</v>
      </c>
      <c r="G209" s="35">
        <v>9938</v>
      </c>
      <c r="H209" s="124"/>
    </row>
    <row r="210" spans="1:9" ht="15.6" customHeight="1">
      <c r="A210" s="591" t="s">
        <v>593</v>
      </c>
      <c r="B210" s="592"/>
      <c r="C210" s="661"/>
      <c r="D210" s="486"/>
      <c r="E210" s="158" t="s">
        <v>64</v>
      </c>
      <c r="F210" s="35">
        <f>G210*1.25</f>
        <v>5065</v>
      </c>
      <c r="G210" s="35">
        <v>4052</v>
      </c>
      <c r="H210" s="126" t="s">
        <v>287</v>
      </c>
    </row>
    <row r="211" spans="1:9" ht="15.6" customHeight="1">
      <c r="A211" s="591" t="s">
        <v>594</v>
      </c>
      <c r="B211" s="592"/>
      <c r="C211" s="661"/>
      <c r="D211" s="486"/>
      <c r="E211" s="158" t="s">
        <v>64</v>
      </c>
      <c r="F211" s="35">
        <f>G211*1.25</f>
        <v>6000</v>
      </c>
      <c r="G211" s="35">
        <v>4800</v>
      </c>
      <c r="H211" s="126" t="s">
        <v>287</v>
      </c>
    </row>
    <row r="212" spans="1:9" ht="15.6" customHeight="1">
      <c r="A212" s="591" t="s">
        <v>314</v>
      </c>
      <c r="B212" s="592"/>
      <c r="C212" s="661"/>
      <c r="D212" s="486"/>
      <c r="E212" s="158" t="s">
        <v>64</v>
      </c>
      <c r="F212" s="35">
        <f>G212*1.25</f>
        <v>8455</v>
      </c>
      <c r="G212" s="35">
        <v>6764</v>
      </c>
      <c r="H212" s="126" t="s">
        <v>793</v>
      </c>
    </row>
    <row r="213" spans="1:9" ht="15.6" customHeight="1">
      <c r="A213" s="591" t="s">
        <v>63</v>
      </c>
      <c r="B213" s="592"/>
      <c r="C213" s="660"/>
      <c r="D213" s="592"/>
      <c r="E213" s="158" t="s">
        <v>64</v>
      </c>
      <c r="F213" s="35">
        <f>G213*1.25</f>
        <v>7588.75</v>
      </c>
      <c r="G213" s="35">
        <v>6071</v>
      </c>
      <c r="H213" s="126"/>
    </row>
    <row r="214" spans="1:9" ht="15.6" customHeight="1">
      <c r="A214" s="591" t="s">
        <v>51</v>
      </c>
      <c r="B214" s="592"/>
      <c r="C214" s="684"/>
      <c r="D214" s="596"/>
      <c r="E214" s="158" t="s">
        <v>64</v>
      </c>
      <c r="F214" s="35">
        <f>G214*1.25</f>
        <v>8875</v>
      </c>
      <c r="G214" s="35">
        <v>7100</v>
      </c>
      <c r="H214" s="126"/>
    </row>
    <row r="215" spans="1:9" ht="15.6" customHeight="1">
      <c r="A215" s="591" t="s">
        <v>49</v>
      </c>
      <c r="B215" s="592"/>
      <c r="C215" s="669"/>
      <c r="D215" s="670"/>
      <c r="E215" s="158" t="s">
        <v>64</v>
      </c>
      <c r="F215" s="35">
        <f>G215*1.25</f>
        <v>10211.25</v>
      </c>
      <c r="G215" s="35">
        <v>8169</v>
      </c>
      <c r="H215" s="126"/>
    </row>
    <row r="216" spans="1:9" ht="15.6" customHeight="1" thickBot="1">
      <c r="A216" s="513" t="s">
        <v>50</v>
      </c>
      <c r="B216" s="514"/>
      <c r="C216" s="682"/>
      <c r="D216" s="683"/>
      <c r="E216" s="234" t="s">
        <v>64</v>
      </c>
      <c r="F216" s="141">
        <f>G216*1.25</f>
        <v>12422.5</v>
      </c>
      <c r="G216" s="141">
        <v>9938</v>
      </c>
      <c r="H216" s="215" t="s">
        <v>287</v>
      </c>
    </row>
    <row r="217" spans="1:9" s="428" customFormat="1" ht="15.6" customHeight="1" thickBot="1">
      <c r="A217" s="560" t="s">
        <v>69</v>
      </c>
      <c r="B217" s="561"/>
      <c r="C217" s="561"/>
      <c r="D217" s="561"/>
      <c r="E217" s="561"/>
      <c r="F217" s="561"/>
      <c r="G217" s="561"/>
      <c r="H217" s="562"/>
    </row>
    <row r="218" spans="1:9" ht="15.6" customHeight="1">
      <c r="A218" s="673" t="s">
        <v>52</v>
      </c>
      <c r="B218" s="603"/>
      <c r="C218" s="674"/>
      <c r="D218" s="675"/>
      <c r="E218" s="240" t="s">
        <v>1</v>
      </c>
      <c r="F218" s="144">
        <f>G218*1.25</f>
        <v>147.5</v>
      </c>
      <c r="G218" s="144">
        <v>118</v>
      </c>
      <c r="H218" s="238" t="s">
        <v>287</v>
      </c>
    </row>
    <row r="219" spans="1:9" ht="15.6" customHeight="1">
      <c r="A219" s="663" t="s">
        <v>53</v>
      </c>
      <c r="B219" s="596"/>
      <c r="C219" s="664"/>
      <c r="D219" s="665"/>
      <c r="E219" s="188" t="s">
        <v>1</v>
      </c>
      <c r="F219" s="112">
        <f>G219*1.25</f>
        <v>255</v>
      </c>
      <c r="G219" s="112">
        <v>204</v>
      </c>
      <c r="H219" s="125" t="s">
        <v>287</v>
      </c>
    </row>
    <row r="220" spans="1:9" ht="15.6" customHeight="1">
      <c r="A220" s="663" t="s">
        <v>54</v>
      </c>
      <c r="B220" s="596"/>
      <c r="C220" s="664"/>
      <c r="D220" s="665"/>
      <c r="E220" s="188" t="s">
        <v>1</v>
      </c>
      <c r="F220" s="112">
        <f>G220*1.25</f>
        <v>380</v>
      </c>
      <c r="G220" s="112">
        <v>304</v>
      </c>
      <c r="H220" s="125"/>
    </row>
    <row r="221" spans="1:9" ht="15.6" customHeight="1">
      <c r="A221" s="663" t="s">
        <v>55</v>
      </c>
      <c r="B221" s="596"/>
      <c r="C221" s="664"/>
      <c r="D221" s="665"/>
      <c r="E221" s="188" t="s">
        <v>1</v>
      </c>
      <c r="F221" s="112">
        <f>G221*1.25</f>
        <v>503.75</v>
      </c>
      <c r="G221" s="112">
        <v>403</v>
      </c>
      <c r="H221" s="125"/>
    </row>
    <row r="222" spans="1:9" ht="15.6" customHeight="1" thickBot="1">
      <c r="A222" s="668" t="s">
        <v>56</v>
      </c>
      <c r="B222" s="582"/>
      <c r="C222" s="678"/>
      <c r="D222" s="679"/>
      <c r="E222" s="137" t="s">
        <v>1</v>
      </c>
      <c r="F222" s="135">
        <f>G222*1.25</f>
        <v>707.5</v>
      </c>
      <c r="G222" s="135">
        <v>566</v>
      </c>
      <c r="H222" s="221"/>
    </row>
    <row r="223" spans="1:9" s="428" customFormat="1" ht="15.6" customHeight="1" thickBot="1">
      <c r="A223" s="560" t="s">
        <v>57</v>
      </c>
      <c r="B223" s="561"/>
      <c r="C223" s="561"/>
      <c r="D223" s="561"/>
      <c r="E223" s="561"/>
      <c r="F223" s="561"/>
      <c r="G223" s="561"/>
      <c r="H223" s="562"/>
    </row>
    <row r="224" spans="1:9" ht="15.6" customHeight="1">
      <c r="A224" s="680" t="s">
        <v>286</v>
      </c>
      <c r="B224" s="681"/>
      <c r="C224" s="518" t="s">
        <v>285</v>
      </c>
      <c r="D224" s="518"/>
      <c r="E224" s="239" t="s">
        <v>65</v>
      </c>
      <c r="F224" s="144">
        <f>G224*1.25</f>
        <v>1750</v>
      </c>
      <c r="G224" s="241">
        <v>1400</v>
      </c>
      <c r="H224" s="227"/>
      <c r="I224" s="212"/>
    </row>
    <row r="225" spans="1:9" ht="15.6" customHeight="1">
      <c r="A225" s="676" t="s">
        <v>509</v>
      </c>
      <c r="B225" s="677"/>
      <c r="C225" s="491" t="s">
        <v>285</v>
      </c>
      <c r="D225" s="491"/>
      <c r="E225" s="113" t="s">
        <v>65</v>
      </c>
      <c r="F225" s="144">
        <f>G225*1.25</f>
        <v>2250</v>
      </c>
      <c r="G225" s="208">
        <v>1800</v>
      </c>
      <c r="H225" s="197"/>
      <c r="I225" s="212"/>
    </row>
    <row r="226" spans="1:9" ht="15.6" customHeight="1" thickBot="1">
      <c r="A226" s="666" t="s">
        <v>604</v>
      </c>
      <c r="B226" s="667"/>
      <c r="C226" s="515" t="s">
        <v>285</v>
      </c>
      <c r="D226" s="515"/>
      <c r="E226" s="233" t="s">
        <v>65</v>
      </c>
      <c r="F226" s="144">
        <f>G226*1.25</f>
        <v>3375</v>
      </c>
      <c r="G226" s="235">
        <v>2700</v>
      </c>
      <c r="H226" s="223"/>
      <c r="I226" s="212"/>
    </row>
    <row r="227" spans="1:9" s="432" customFormat="1" ht="15.6" customHeight="1" thickBot="1">
      <c r="A227" s="560" t="s">
        <v>70</v>
      </c>
      <c r="B227" s="561"/>
      <c r="C227" s="561"/>
      <c r="D227" s="561"/>
      <c r="E227" s="561"/>
      <c r="F227" s="561"/>
      <c r="G227" s="561"/>
      <c r="H227" s="562"/>
    </row>
    <row r="228" spans="1:9" ht="15.6" customHeight="1">
      <c r="A228" s="658" t="s">
        <v>519</v>
      </c>
      <c r="B228" s="491"/>
      <c r="C228" s="657" t="s">
        <v>67</v>
      </c>
      <c r="D228" s="657"/>
      <c r="E228" s="113" t="s">
        <v>68</v>
      </c>
      <c r="F228" s="112">
        <v>85</v>
      </c>
      <c r="G228" s="112">
        <v>78</v>
      </c>
      <c r="H228" s="197"/>
    </row>
    <row r="229" spans="1:9" ht="15.6" customHeight="1">
      <c r="A229" s="658" t="s">
        <v>500</v>
      </c>
      <c r="B229" s="491"/>
      <c r="C229" s="657" t="s">
        <v>501</v>
      </c>
      <c r="D229" s="657"/>
      <c r="E229" s="113" t="s">
        <v>68</v>
      </c>
      <c r="F229" s="112">
        <v>97</v>
      </c>
      <c r="G229" s="112">
        <v>89</v>
      </c>
      <c r="H229" s="197"/>
    </row>
    <row r="230" spans="1:9" ht="15.6" customHeight="1" thickBot="1">
      <c r="A230" s="658" t="s">
        <v>174</v>
      </c>
      <c r="B230" s="491"/>
      <c r="C230" s="657" t="s">
        <v>67</v>
      </c>
      <c r="D230" s="657"/>
      <c r="E230" s="113" t="s">
        <v>68</v>
      </c>
      <c r="F230" s="112">
        <v>243</v>
      </c>
      <c r="G230" s="112">
        <v>226</v>
      </c>
      <c r="H230" s="185"/>
    </row>
    <row r="231" spans="1:9" ht="15.6" customHeight="1" thickBot="1">
      <c r="A231" s="646" t="s">
        <v>71</v>
      </c>
      <c r="B231" s="647"/>
      <c r="C231" s="647"/>
      <c r="D231" s="647"/>
      <c r="E231" s="647"/>
      <c r="F231" s="647"/>
      <c r="G231" s="647"/>
      <c r="H231" s="648"/>
    </row>
    <row r="232" spans="1:9" ht="15.6" customHeight="1">
      <c r="A232" s="649" t="s">
        <v>58</v>
      </c>
      <c r="B232" s="650"/>
      <c r="C232" s="651" t="s">
        <v>66</v>
      </c>
      <c r="D232" s="652"/>
      <c r="E232" s="380" t="s">
        <v>1</v>
      </c>
      <c r="F232" s="381">
        <v>166</v>
      </c>
      <c r="G232" s="381">
        <v>74</v>
      </c>
      <c r="H232" s="475" t="s">
        <v>792</v>
      </c>
    </row>
    <row r="233" spans="1:9" ht="15.6" customHeight="1">
      <c r="A233" s="655" t="s">
        <v>59</v>
      </c>
      <c r="B233" s="656"/>
      <c r="C233" s="653" t="s">
        <v>66</v>
      </c>
      <c r="D233" s="654"/>
      <c r="E233" s="361" t="s">
        <v>1</v>
      </c>
      <c r="F233" s="362">
        <v>239</v>
      </c>
      <c r="G233" s="362">
        <v>102</v>
      </c>
      <c r="H233" s="476"/>
    </row>
    <row r="234" spans="1:9" ht="15.6" customHeight="1">
      <c r="A234" s="655" t="s">
        <v>60</v>
      </c>
      <c r="B234" s="656"/>
      <c r="C234" s="653" t="s">
        <v>66</v>
      </c>
      <c r="D234" s="654"/>
      <c r="E234" s="361" t="s">
        <v>1</v>
      </c>
      <c r="F234" s="362">
        <v>455</v>
      </c>
      <c r="G234" s="362">
        <v>204</v>
      </c>
      <c r="H234" s="476"/>
    </row>
    <row r="235" spans="1:9" ht="15.6" customHeight="1">
      <c r="A235" s="655" t="s">
        <v>61</v>
      </c>
      <c r="B235" s="656"/>
      <c r="C235" s="653" t="s">
        <v>66</v>
      </c>
      <c r="D235" s="654"/>
      <c r="E235" s="361" t="s">
        <v>1</v>
      </c>
      <c r="F235" s="362">
        <v>1202</v>
      </c>
      <c r="G235" s="362">
        <v>542</v>
      </c>
      <c r="H235" s="476"/>
    </row>
    <row r="236" spans="1:9" ht="15.6" customHeight="1" thickBot="1">
      <c r="A236" s="642" t="s">
        <v>62</v>
      </c>
      <c r="B236" s="643"/>
      <c r="C236" s="644" t="s">
        <v>66</v>
      </c>
      <c r="D236" s="645"/>
      <c r="E236" s="382" t="s">
        <v>1</v>
      </c>
      <c r="F236" s="383">
        <v>1787</v>
      </c>
      <c r="G236" s="383">
        <v>818</v>
      </c>
      <c r="H236" s="477"/>
    </row>
    <row r="237" spans="1:9" s="428" customFormat="1" ht="15.6" customHeight="1" thickBot="1">
      <c r="A237" s="560" t="s">
        <v>21</v>
      </c>
      <c r="B237" s="561"/>
      <c r="C237" s="561"/>
      <c r="D237" s="561"/>
      <c r="E237" s="561"/>
      <c r="F237" s="561"/>
      <c r="G237" s="561"/>
      <c r="H237" s="562"/>
    </row>
    <row r="238" spans="1:9" ht="15.6" customHeight="1">
      <c r="A238" s="563" t="s">
        <v>338</v>
      </c>
      <c r="B238" s="564"/>
      <c r="C238" s="565" t="s">
        <v>530</v>
      </c>
      <c r="D238" s="566"/>
      <c r="E238" s="239" t="s">
        <v>22</v>
      </c>
      <c r="F238" s="144">
        <v>204</v>
      </c>
      <c r="G238" s="144">
        <v>166</v>
      </c>
      <c r="H238" s="242"/>
    </row>
    <row r="239" spans="1:9" ht="15.6" customHeight="1">
      <c r="A239" s="591" t="s">
        <v>529</v>
      </c>
      <c r="B239" s="592"/>
      <c r="C239" s="593" t="s">
        <v>531</v>
      </c>
      <c r="D239" s="594"/>
      <c r="E239" s="113" t="s">
        <v>22</v>
      </c>
      <c r="F239" s="144">
        <f>G239*1.25</f>
        <v>225</v>
      </c>
      <c r="G239" s="112">
        <v>180</v>
      </c>
      <c r="H239" s="125"/>
    </row>
    <row r="240" spans="1:9" ht="15.6" customHeight="1">
      <c r="A240" s="591" t="s">
        <v>339</v>
      </c>
      <c r="B240" s="592"/>
      <c r="C240" s="593" t="s">
        <v>39</v>
      </c>
      <c r="D240" s="594"/>
      <c r="E240" s="113" t="s">
        <v>22</v>
      </c>
      <c r="F240" s="144">
        <v>234</v>
      </c>
      <c r="G240" s="112">
        <v>196</v>
      </c>
      <c r="H240" s="173"/>
    </row>
    <row r="241" spans="1:8" ht="15.6" customHeight="1">
      <c r="A241" s="591" t="s">
        <v>340</v>
      </c>
      <c r="B241" s="592"/>
      <c r="C241" s="593" t="s">
        <v>40</v>
      </c>
      <c r="D241" s="594"/>
      <c r="E241" s="113" t="s">
        <v>22</v>
      </c>
      <c r="F241" s="144">
        <v>264</v>
      </c>
      <c r="G241" s="112">
        <v>210</v>
      </c>
      <c r="H241" s="173"/>
    </row>
    <row r="242" spans="1:8" ht="15.6" customHeight="1">
      <c r="A242" s="591" t="s">
        <v>341</v>
      </c>
      <c r="B242" s="592"/>
      <c r="C242" s="593" t="s">
        <v>41</v>
      </c>
      <c r="D242" s="594"/>
      <c r="E242" s="113" t="s">
        <v>22</v>
      </c>
      <c r="F242" s="144">
        <v>285</v>
      </c>
      <c r="G242" s="112">
        <v>240</v>
      </c>
      <c r="H242" s="126"/>
    </row>
    <row r="243" spans="1:8" ht="15.6" customHeight="1">
      <c r="A243" s="591" t="s">
        <v>342</v>
      </c>
      <c r="B243" s="592"/>
      <c r="C243" s="593" t="s">
        <v>32</v>
      </c>
      <c r="D243" s="594"/>
      <c r="E243" s="113" t="s">
        <v>1</v>
      </c>
      <c r="F243" s="144">
        <f>G243*1.25</f>
        <v>3707.5</v>
      </c>
      <c r="G243" s="112">
        <v>2966</v>
      </c>
      <c r="H243" s="173"/>
    </row>
    <row r="244" spans="1:8" ht="15.6" customHeight="1">
      <c r="A244" s="591" t="s">
        <v>343</v>
      </c>
      <c r="B244" s="592"/>
      <c r="C244" s="593" t="s">
        <v>33</v>
      </c>
      <c r="D244" s="594"/>
      <c r="E244" s="113" t="s">
        <v>1</v>
      </c>
      <c r="F244" s="144">
        <f>G244*1.25</f>
        <v>10117.5</v>
      </c>
      <c r="G244" s="112">
        <v>8094</v>
      </c>
      <c r="H244" s="173"/>
    </row>
    <row r="245" spans="1:8" ht="15.6" customHeight="1">
      <c r="A245" s="591" t="s">
        <v>344</v>
      </c>
      <c r="B245" s="592"/>
      <c r="C245" s="593" t="s">
        <v>34</v>
      </c>
      <c r="D245" s="594"/>
      <c r="E245" s="113" t="s">
        <v>1</v>
      </c>
      <c r="F245" s="144">
        <f>G245*1.25</f>
        <v>3187.5</v>
      </c>
      <c r="G245" s="112">
        <v>2550</v>
      </c>
      <c r="H245" s="173"/>
    </row>
    <row r="246" spans="1:8" ht="15.6" customHeight="1">
      <c r="A246" s="571" t="s">
        <v>345</v>
      </c>
      <c r="B246" s="634"/>
      <c r="C246" s="593" t="s">
        <v>326</v>
      </c>
      <c r="D246" s="594"/>
      <c r="E246" s="113" t="s">
        <v>23</v>
      </c>
      <c r="F246" s="144">
        <f>G246*1.25</f>
        <v>127237.5</v>
      </c>
      <c r="G246" s="112">
        <v>101790</v>
      </c>
      <c r="H246" s="184"/>
    </row>
    <row r="247" spans="1:8" ht="15.6" customHeight="1">
      <c r="A247" s="571" t="s">
        <v>346</v>
      </c>
      <c r="B247" s="634"/>
      <c r="C247" s="593" t="s">
        <v>327</v>
      </c>
      <c r="D247" s="594"/>
      <c r="E247" s="113" t="s">
        <v>23</v>
      </c>
      <c r="F247" s="144">
        <v>100726</v>
      </c>
      <c r="G247" s="112">
        <v>80580</v>
      </c>
      <c r="H247" s="173"/>
    </row>
    <row r="248" spans="1:8" ht="15.6" customHeight="1" thickBot="1">
      <c r="A248" s="640" t="s">
        <v>347</v>
      </c>
      <c r="B248" s="641"/>
      <c r="C248" s="586" t="s">
        <v>328</v>
      </c>
      <c r="D248" s="587"/>
      <c r="E248" s="233" t="s">
        <v>23</v>
      </c>
      <c r="F248" s="144">
        <f>G248*1.25</f>
        <v>90527.5</v>
      </c>
      <c r="G248" s="135">
        <v>72422</v>
      </c>
      <c r="H248" s="232"/>
    </row>
    <row r="249" spans="1:8" ht="15.6" customHeight="1" thickBot="1">
      <c r="A249" s="635" t="s">
        <v>335</v>
      </c>
      <c r="B249" s="636"/>
      <c r="C249" s="636"/>
      <c r="D249" s="636"/>
      <c r="E249" s="636"/>
      <c r="F249" s="636"/>
      <c r="G249" s="636"/>
      <c r="H249" s="637"/>
    </row>
    <row r="250" spans="1:8" ht="15.6" customHeight="1">
      <c r="A250" s="638" t="s">
        <v>337</v>
      </c>
      <c r="B250" s="639"/>
      <c r="C250" s="565" t="s">
        <v>336</v>
      </c>
      <c r="D250" s="566"/>
      <c r="E250" s="239" t="s">
        <v>22</v>
      </c>
      <c r="F250" s="144">
        <v>184</v>
      </c>
      <c r="G250" s="144">
        <v>146</v>
      </c>
      <c r="H250" s="243"/>
    </row>
    <row r="251" spans="1:8" ht="15.6" customHeight="1">
      <c r="A251" s="632" t="s">
        <v>402</v>
      </c>
      <c r="B251" s="633"/>
      <c r="C251" s="593" t="s">
        <v>403</v>
      </c>
      <c r="D251" s="594"/>
      <c r="E251" s="113" t="s">
        <v>22</v>
      </c>
      <c r="F251" s="144">
        <f>G251*1.25</f>
        <v>197.5</v>
      </c>
      <c r="G251" s="112">
        <v>158</v>
      </c>
      <c r="H251" s="127"/>
    </row>
    <row r="252" spans="1:8" ht="15.6" customHeight="1">
      <c r="A252" s="632" t="s">
        <v>469</v>
      </c>
      <c r="B252" s="633"/>
      <c r="C252" s="593" t="s">
        <v>404</v>
      </c>
      <c r="D252" s="594"/>
      <c r="E252" s="113" t="s">
        <v>22</v>
      </c>
      <c r="F252" s="144">
        <f>G252*1.25</f>
        <v>207.5</v>
      </c>
      <c r="G252" s="112">
        <v>166</v>
      </c>
      <c r="H252" s="127"/>
    </row>
    <row r="253" spans="1:8" ht="15.6" customHeight="1">
      <c r="A253" s="632" t="s">
        <v>468</v>
      </c>
      <c r="B253" s="633"/>
      <c r="C253" s="593" t="s">
        <v>405</v>
      </c>
      <c r="D253" s="594"/>
      <c r="E253" s="113" t="s">
        <v>22</v>
      </c>
      <c r="F253" s="144">
        <v>232</v>
      </c>
      <c r="G253" s="112">
        <v>186</v>
      </c>
      <c r="H253" s="127" t="s">
        <v>793</v>
      </c>
    </row>
    <row r="254" spans="1:8" ht="15.6" customHeight="1">
      <c r="A254" s="632" t="s">
        <v>467</v>
      </c>
      <c r="B254" s="633"/>
      <c r="C254" s="593" t="s">
        <v>406</v>
      </c>
      <c r="D254" s="594"/>
      <c r="E254" s="113" t="s">
        <v>22</v>
      </c>
      <c r="F254" s="144">
        <f>G254*1.25</f>
        <v>250</v>
      </c>
      <c r="G254" s="112">
        <v>200</v>
      </c>
      <c r="H254" s="127"/>
    </row>
    <row r="255" spans="1:8" ht="15.6" customHeight="1">
      <c r="A255" s="632" t="s">
        <v>466</v>
      </c>
      <c r="B255" s="633"/>
      <c r="C255" s="593" t="s">
        <v>407</v>
      </c>
      <c r="D255" s="594"/>
      <c r="E255" s="113" t="s">
        <v>22</v>
      </c>
      <c r="F255" s="144">
        <v>296</v>
      </c>
      <c r="G255" s="112">
        <v>236</v>
      </c>
      <c r="H255" s="127" t="s">
        <v>793</v>
      </c>
    </row>
    <row r="256" spans="1:8" ht="15.6" customHeight="1">
      <c r="A256" s="632" t="s">
        <v>465</v>
      </c>
      <c r="B256" s="633"/>
      <c r="C256" s="593" t="s">
        <v>408</v>
      </c>
      <c r="D256" s="594"/>
      <c r="E256" s="113" t="s">
        <v>22</v>
      </c>
      <c r="F256" s="144">
        <f>G256*1.25</f>
        <v>370</v>
      </c>
      <c r="G256" s="112">
        <v>296</v>
      </c>
      <c r="H256" s="127" t="s">
        <v>287</v>
      </c>
    </row>
    <row r="257" spans="1:8" ht="15.6" customHeight="1">
      <c r="A257" s="632" t="s">
        <v>464</v>
      </c>
      <c r="B257" s="633"/>
      <c r="C257" s="593" t="s">
        <v>409</v>
      </c>
      <c r="D257" s="594"/>
      <c r="E257" s="113" t="s">
        <v>22</v>
      </c>
      <c r="F257" s="144">
        <f>G257*1.25</f>
        <v>322.5</v>
      </c>
      <c r="G257" s="112">
        <v>258</v>
      </c>
      <c r="H257" s="127" t="s">
        <v>287</v>
      </c>
    </row>
    <row r="258" spans="1:8" ht="15.6" customHeight="1">
      <c r="A258" s="632" t="s">
        <v>463</v>
      </c>
      <c r="B258" s="633"/>
      <c r="C258" s="593" t="s">
        <v>410</v>
      </c>
      <c r="D258" s="594"/>
      <c r="E258" s="113" t="s">
        <v>22</v>
      </c>
      <c r="F258" s="144">
        <f>G258*1.25</f>
        <v>347.5</v>
      </c>
      <c r="G258" s="112">
        <v>278</v>
      </c>
      <c r="H258" s="127" t="s">
        <v>287</v>
      </c>
    </row>
    <row r="259" spans="1:8" ht="15.6" customHeight="1">
      <c r="A259" s="632" t="s">
        <v>462</v>
      </c>
      <c r="B259" s="633"/>
      <c r="C259" s="593" t="s">
        <v>411</v>
      </c>
      <c r="D259" s="594"/>
      <c r="E259" s="113" t="s">
        <v>22</v>
      </c>
      <c r="F259" s="144">
        <v>364</v>
      </c>
      <c r="G259" s="112">
        <v>290</v>
      </c>
      <c r="H259" s="127" t="s">
        <v>287</v>
      </c>
    </row>
    <row r="260" spans="1:8" ht="15.6" customHeight="1">
      <c r="A260" s="632" t="s">
        <v>461</v>
      </c>
      <c r="B260" s="633"/>
      <c r="C260" s="593" t="s">
        <v>412</v>
      </c>
      <c r="D260" s="594"/>
      <c r="E260" s="113" t="s">
        <v>22</v>
      </c>
      <c r="F260" s="144">
        <v>476</v>
      </c>
      <c r="G260" s="112">
        <v>380</v>
      </c>
      <c r="H260" s="127" t="s">
        <v>793</v>
      </c>
    </row>
    <row r="261" spans="1:8" ht="15.6" customHeight="1">
      <c r="A261" s="632" t="s">
        <v>460</v>
      </c>
      <c r="B261" s="633"/>
      <c r="C261" s="593" t="s">
        <v>413</v>
      </c>
      <c r="D261" s="594"/>
      <c r="E261" s="113" t="s">
        <v>22</v>
      </c>
      <c r="F261" s="144">
        <v>562</v>
      </c>
      <c r="G261" s="112">
        <v>449</v>
      </c>
      <c r="H261" s="127" t="s">
        <v>287</v>
      </c>
    </row>
    <row r="262" spans="1:8" ht="15.6" customHeight="1">
      <c r="A262" s="632" t="s">
        <v>459</v>
      </c>
      <c r="B262" s="633"/>
      <c r="C262" s="593" t="s">
        <v>414</v>
      </c>
      <c r="D262" s="594"/>
      <c r="E262" s="113" t="s">
        <v>22</v>
      </c>
      <c r="F262" s="144">
        <v>626</v>
      </c>
      <c r="G262" s="112">
        <v>500</v>
      </c>
      <c r="H262" s="127" t="s">
        <v>793</v>
      </c>
    </row>
    <row r="263" spans="1:8" ht="15.6" customHeight="1">
      <c r="A263" s="632" t="s">
        <v>458</v>
      </c>
      <c r="B263" s="633"/>
      <c r="C263" s="593" t="s">
        <v>415</v>
      </c>
      <c r="D263" s="594"/>
      <c r="E263" s="113" t="s">
        <v>22</v>
      </c>
      <c r="F263" s="144">
        <v>904</v>
      </c>
      <c r="G263" s="112">
        <v>722</v>
      </c>
      <c r="H263" s="127" t="s">
        <v>793</v>
      </c>
    </row>
    <row r="264" spans="1:8" ht="15.6" customHeight="1">
      <c r="A264" s="632" t="s">
        <v>457</v>
      </c>
      <c r="B264" s="633"/>
      <c r="C264" s="593" t="s">
        <v>416</v>
      </c>
      <c r="D264" s="594"/>
      <c r="E264" s="113" t="s">
        <v>22</v>
      </c>
      <c r="F264" s="144">
        <v>954</v>
      </c>
      <c r="G264" s="112">
        <v>762</v>
      </c>
      <c r="H264" s="127" t="s">
        <v>793</v>
      </c>
    </row>
    <row r="265" spans="1:8" ht="15.6" customHeight="1">
      <c r="A265" s="632" t="s">
        <v>456</v>
      </c>
      <c r="B265" s="633"/>
      <c r="C265" s="593" t="s">
        <v>417</v>
      </c>
      <c r="D265" s="594"/>
      <c r="E265" s="113" t="s">
        <v>22</v>
      </c>
      <c r="F265" s="144">
        <v>1092</v>
      </c>
      <c r="G265" s="112">
        <v>873</v>
      </c>
      <c r="H265" s="127"/>
    </row>
    <row r="266" spans="1:8" ht="15.6" customHeight="1">
      <c r="A266" s="632" t="s">
        <v>455</v>
      </c>
      <c r="B266" s="633"/>
      <c r="C266" s="593" t="s">
        <v>418</v>
      </c>
      <c r="D266" s="594"/>
      <c r="E266" s="113" t="s">
        <v>22</v>
      </c>
      <c r="F266" s="144">
        <f>G266*1.25</f>
        <v>1236.25</v>
      </c>
      <c r="G266" s="112">
        <v>989</v>
      </c>
      <c r="H266" s="127"/>
    </row>
    <row r="267" spans="1:8" ht="15.6" customHeight="1">
      <c r="A267" s="632" t="s">
        <v>454</v>
      </c>
      <c r="B267" s="633"/>
      <c r="C267" s="593" t="s">
        <v>419</v>
      </c>
      <c r="D267" s="594"/>
      <c r="E267" s="113" t="s">
        <v>22</v>
      </c>
      <c r="F267" s="144">
        <v>476</v>
      </c>
      <c r="G267" s="112">
        <v>380</v>
      </c>
      <c r="H267" s="127"/>
    </row>
    <row r="268" spans="1:8" ht="15.6" customHeight="1">
      <c r="A268" s="632" t="s">
        <v>453</v>
      </c>
      <c r="B268" s="633"/>
      <c r="C268" s="593" t="s">
        <v>420</v>
      </c>
      <c r="D268" s="594"/>
      <c r="E268" s="113" t="s">
        <v>22</v>
      </c>
      <c r="F268" s="144">
        <v>496</v>
      </c>
      <c r="G268" s="112">
        <v>396</v>
      </c>
      <c r="H268" s="127"/>
    </row>
    <row r="269" spans="1:8" ht="15.6" customHeight="1">
      <c r="A269" s="632" t="s">
        <v>452</v>
      </c>
      <c r="B269" s="633"/>
      <c r="C269" s="593" t="s">
        <v>421</v>
      </c>
      <c r="D269" s="594"/>
      <c r="E269" s="113" t="s">
        <v>22</v>
      </c>
      <c r="F269" s="144">
        <v>504</v>
      </c>
      <c r="G269" s="112">
        <v>402</v>
      </c>
      <c r="H269" s="127"/>
    </row>
    <row r="270" spans="1:8" ht="15.6" customHeight="1">
      <c r="A270" s="632" t="s">
        <v>451</v>
      </c>
      <c r="B270" s="633"/>
      <c r="C270" s="593" t="s">
        <v>422</v>
      </c>
      <c r="D270" s="594"/>
      <c r="E270" s="113" t="s">
        <v>22</v>
      </c>
      <c r="F270" s="144">
        <v>624</v>
      </c>
      <c r="G270" s="112">
        <v>498</v>
      </c>
      <c r="H270" s="127" t="s">
        <v>287</v>
      </c>
    </row>
    <row r="271" spans="1:8" ht="15.6" customHeight="1">
      <c r="A271" s="632" t="s">
        <v>450</v>
      </c>
      <c r="B271" s="633"/>
      <c r="C271" s="593" t="s">
        <v>423</v>
      </c>
      <c r="D271" s="594"/>
      <c r="E271" s="113" t="s">
        <v>22</v>
      </c>
      <c r="F271" s="144">
        <f>G271*1.25</f>
        <v>727.5</v>
      </c>
      <c r="G271" s="112">
        <v>582</v>
      </c>
      <c r="H271" s="127" t="s">
        <v>793</v>
      </c>
    </row>
    <row r="272" spans="1:8" ht="15.6" customHeight="1">
      <c r="A272" s="632" t="s">
        <v>449</v>
      </c>
      <c r="B272" s="633"/>
      <c r="C272" s="593" t="s">
        <v>424</v>
      </c>
      <c r="D272" s="594"/>
      <c r="E272" s="113" t="s">
        <v>22</v>
      </c>
      <c r="F272" s="144">
        <v>826</v>
      </c>
      <c r="G272" s="112">
        <v>660</v>
      </c>
      <c r="H272" s="127" t="s">
        <v>287</v>
      </c>
    </row>
    <row r="273" spans="1:8" ht="15.6" customHeight="1">
      <c r="A273" s="632" t="s">
        <v>448</v>
      </c>
      <c r="B273" s="633"/>
      <c r="C273" s="593" t="s">
        <v>425</v>
      </c>
      <c r="D273" s="594"/>
      <c r="E273" s="113" t="s">
        <v>22</v>
      </c>
      <c r="F273" s="144">
        <v>1256</v>
      </c>
      <c r="G273" s="112">
        <v>1004</v>
      </c>
      <c r="H273" s="127" t="s">
        <v>793</v>
      </c>
    </row>
    <row r="274" spans="1:8" ht="15.6" customHeight="1">
      <c r="A274" s="632" t="s">
        <v>447</v>
      </c>
      <c r="B274" s="633"/>
      <c r="C274" s="593" t="s">
        <v>426</v>
      </c>
      <c r="D274" s="594"/>
      <c r="E274" s="113" t="s">
        <v>22</v>
      </c>
      <c r="F274" s="144">
        <v>1566</v>
      </c>
      <c r="G274" s="112">
        <v>1252</v>
      </c>
      <c r="H274" s="127" t="s">
        <v>793</v>
      </c>
    </row>
    <row r="275" spans="1:8" ht="15.6" customHeight="1">
      <c r="A275" s="632" t="s">
        <v>446</v>
      </c>
      <c r="B275" s="633"/>
      <c r="C275" s="593" t="s">
        <v>427</v>
      </c>
      <c r="D275" s="594"/>
      <c r="E275" s="113" t="s">
        <v>22</v>
      </c>
      <c r="F275" s="144">
        <f>G275*1.25</f>
        <v>1960</v>
      </c>
      <c r="G275" s="112">
        <v>1568</v>
      </c>
      <c r="H275" s="127" t="s">
        <v>793</v>
      </c>
    </row>
    <row r="276" spans="1:8" ht="15.6" customHeight="1">
      <c r="A276" s="632" t="s">
        <v>445</v>
      </c>
      <c r="B276" s="633"/>
      <c r="C276" s="593" t="s">
        <v>428</v>
      </c>
      <c r="D276" s="594"/>
      <c r="E276" s="113" t="s">
        <v>22</v>
      </c>
      <c r="F276" s="144">
        <f>G276*1.25</f>
        <v>1057.5</v>
      </c>
      <c r="G276" s="112">
        <v>846</v>
      </c>
      <c r="H276" s="127"/>
    </row>
    <row r="277" spans="1:8" ht="15.6" customHeight="1">
      <c r="A277" s="632" t="s">
        <v>444</v>
      </c>
      <c r="B277" s="633"/>
      <c r="C277" s="593" t="s">
        <v>429</v>
      </c>
      <c r="D277" s="594"/>
      <c r="E277" s="113" t="s">
        <v>22</v>
      </c>
      <c r="F277" s="144">
        <v>1244</v>
      </c>
      <c r="G277" s="112">
        <v>994</v>
      </c>
      <c r="H277" s="127" t="s">
        <v>287</v>
      </c>
    </row>
    <row r="278" spans="1:8" ht="15.6" customHeight="1">
      <c r="A278" s="632" t="s">
        <v>443</v>
      </c>
      <c r="B278" s="633"/>
      <c r="C278" s="593" t="s">
        <v>430</v>
      </c>
      <c r="D278" s="594"/>
      <c r="E278" s="113" t="s">
        <v>22</v>
      </c>
      <c r="F278" s="144">
        <f>G278*1.25</f>
        <v>1527.5</v>
      </c>
      <c r="G278" s="112">
        <v>1222</v>
      </c>
      <c r="H278" s="127" t="s">
        <v>287</v>
      </c>
    </row>
    <row r="279" spans="1:8" ht="15.6" customHeight="1">
      <c r="A279" s="632" t="s">
        <v>442</v>
      </c>
      <c r="B279" s="633"/>
      <c r="C279" s="593" t="s">
        <v>431</v>
      </c>
      <c r="D279" s="594"/>
      <c r="E279" s="113" t="s">
        <v>22</v>
      </c>
      <c r="F279" s="144">
        <v>1824</v>
      </c>
      <c r="G279" s="112">
        <v>1458</v>
      </c>
      <c r="H279" s="127" t="s">
        <v>287</v>
      </c>
    </row>
    <row r="280" spans="1:8" ht="15.6" customHeight="1">
      <c r="A280" s="632" t="s">
        <v>441</v>
      </c>
      <c r="B280" s="633"/>
      <c r="C280" s="593" t="s">
        <v>432</v>
      </c>
      <c r="D280" s="594"/>
      <c r="E280" s="113" t="s">
        <v>22</v>
      </c>
      <c r="F280" s="144">
        <v>2484</v>
      </c>
      <c r="G280" s="112">
        <v>1986</v>
      </c>
      <c r="H280" s="127"/>
    </row>
    <row r="281" spans="1:8" ht="15.6" customHeight="1">
      <c r="A281" s="632" t="s">
        <v>433</v>
      </c>
      <c r="B281" s="633"/>
      <c r="C281" s="593" t="s">
        <v>348</v>
      </c>
      <c r="D281" s="594"/>
      <c r="E281" s="113" t="s">
        <v>23</v>
      </c>
      <c r="F281" s="144">
        <v>54676</v>
      </c>
      <c r="G281" s="112">
        <v>43740</v>
      </c>
      <c r="H281" s="127"/>
    </row>
    <row r="282" spans="1:8" ht="15.6" customHeight="1">
      <c r="A282" s="632" t="s">
        <v>434</v>
      </c>
      <c r="B282" s="633"/>
      <c r="C282" s="593" t="s">
        <v>349</v>
      </c>
      <c r="D282" s="594"/>
      <c r="E282" s="113" t="s">
        <v>23</v>
      </c>
      <c r="F282" s="144">
        <f>G282*1.25</f>
        <v>50400</v>
      </c>
      <c r="G282" s="112">
        <v>40320</v>
      </c>
      <c r="H282" s="127"/>
    </row>
    <row r="283" spans="1:8" ht="15.6" customHeight="1">
      <c r="A283" s="632" t="s">
        <v>435</v>
      </c>
      <c r="B283" s="633"/>
      <c r="C283" s="593" t="s">
        <v>350</v>
      </c>
      <c r="D283" s="594"/>
      <c r="E283" s="113" t="s">
        <v>23</v>
      </c>
      <c r="F283" s="144">
        <f>G283*1.25</f>
        <v>43207.5</v>
      </c>
      <c r="G283" s="112">
        <v>34566</v>
      </c>
      <c r="H283" s="127"/>
    </row>
    <row r="284" spans="1:8" ht="15.6" customHeight="1">
      <c r="A284" s="632" t="s">
        <v>436</v>
      </c>
      <c r="B284" s="633"/>
      <c r="C284" s="593" t="s">
        <v>351</v>
      </c>
      <c r="D284" s="594"/>
      <c r="E284" s="113" t="s">
        <v>23</v>
      </c>
      <c r="F284" s="144">
        <v>100914</v>
      </c>
      <c r="G284" s="112">
        <v>80730</v>
      </c>
      <c r="H284" s="127"/>
    </row>
    <row r="285" spans="1:8" ht="15.6" customHeight="1">
      <c r="A285" s="632" t="s">
        <v>437</v>
      </c>
      <c r="B285" s="633"/>
      <c r="C285" s="593" t="s">
        <v>352</v>
      </c>
      <c r="D285" s="594"/>
      <c r="E285" s="113" t="s">
        <v>23</v>
      </c>
      <c r="F285" s="144">
        <v>78176</v>
      </c>
      <c r="G285" s="112">
        <v>62540</v>
      </c>
      <c r="H285" s="127"/>
    </row>
    <row r="286" spans="1:8" ht="15.6" customHeight="1">
      <c r="A286" s="632" t="s">
        <v>438</v>
      </c>
      <c r="B286" s="633"/>
      <c r="C286" s="593" t="s">
        <v>353</v>
      </c>
      <c r="D286" s="594"/>
      <c r="E286" s="113" t="s">
        <v>23</v>
      </c>
      <c r="F286" s="144">
        <v>63194</v>
      </c>
      <c r="G286" s="112">
        <v>50554</v>
      </c>
      <c r="H286" s="187"/>
    </row>
    <row r="287" spans="1:8" ht="15.6" customHeight="1">
      <c r="A287" s="632" t="s">
        <v>439</v>
      </c>
      <c r="B287" s="633"/>
      <c r="C287" s="593" t="s">
        <v>357</v>
      </c>
      <c r="D287" s="594"/>
      <c r="E287" s="113" t="s">
        <v>23</v>
      </c>
      <c r="F287" s="144">
        <f>G287*1.25</f>
        <v>123937.5</v>
      </c>
      <c r="G287" s="112">
        <v>99150</v>
      </c>
      <c r="H287" s="127"/>
    </row>
    <row r="288" spans="1:8" ht="15.6" customHeight="1">
      <c r="A288" s="632" t="s">
        <v>440</v>
      </c>
      <c r="B288" s="633"/>
      <c r="C288" s="593" t="s">
        <v>356</v>
      </c>
      <c r="D288" s="594"/>
      <c r="E288" s="113" t="s">
        <v>23</v>
      </c>
      <c r="F288" s="144">
        <v>95676</v>
      </c>
      <c r="G288" s="112">
        <v>76540</v>
      </c>
      <c r="H288" s="127"/>
    </row>
    <row r="289" spans="1:8" ht="15.6" customHeight="1">
      <c r="A289" s="632" t="s">
        <v>400</v>
      </c>
      <c r="B289" s="633"/>
      <c r="C289" s="593" t="s">
        <v>354</v>
      </c>
      <c r="D289" s="594"/>
      <c r="E289" s="113" t="s">
        <v>23</v>
      </c>
      <c r="F289" s="144">
        <f>G289*1.25</f>
        <v>154087.5</v>
      </c>
      <c r="G289" s="112">
        <v>123270</v>
      </c>
      <c r="H289" s="127" t="s">
        <v>679</v>
      </c>
    </row>
    <row r="290" spans="1:8" ht="15.6" customHeight="1">
      <c r="A290" s="632" t="s">
        <v>401</v>
      </c>
      <c r="B290" s="633"/>
      <c r="C290" s="593" t="s">
        <v>355</v>
      </c>
      <c r="D290" s="594"/>
      <c r="E290" s="113" t="s">
        <v>23</v>
      </c>
      <c r="F290" s="144">
        <f>G290*1.25</f>
        <v>116250</v>
      </c>
      <c r="G290" s="112">
        <v>93000</v>
      </c>
      <c r="H290" s="127" t="s">
        <v>679</v>
      </c>
    </row>
    <row r="291" spans="1:8" ht="15.6" customHeight="1">
      <c r="A291" s="632" t="s">
        <v>358</v>
      </c>
      <c r="B291" s="633"/>
      <c r="C291" s="593"/>
      <c r="D291" s="594"/>
      <c r="E291" s="113" t="s">
        <v>1</v>
      </c>
      <c r="F291" s="112">
        <v>3127.5</v>
      </c>
      <c r="G291" s="112">
        <v>2502</v>
      </c>
      <c r="H291" s="127"/>
    </row>
    <row r="292" spans="1:8" ht="15.6" customHeight="1">
      <c r="A292" s="632" t="s">
        <v>471</v>
      </c>
      <c r="B292" s="633"/>
      <c r="C292" s="593" t="s">
        <v>470</v>
      </c>
      <c r="D292" s="594"/>
      <c r="E292" s="113" t="s">
        <v>23</v>
      </c>
      <c r="F292" s="112">
        <v>2397.5</v>
      </c>
      <c r="G292" s="112">
        <v>1918</v>
      </c>
      <c r="H292" s="127"/>
    </row>
    <row r="293" spans="1:8" ht="15.6" customHeight="1" thickBot="1">
      <c r="A293" s="630" t="s">
        <v>359</v>
      </c>
      <c r="B293" s="631"/>
      <c r="C293" s="628" t="s">
        <v>360</v>
      </c>
      <c r="D293" s="629"/>
      <c r="E293" s="181" t="s">
        <v>23</v>
      </c>
      <c r="F293" s="132">
        <v>1146.25</v>
      </c>
      <c r="G293" s="132">
        <v>917</v>
      </c>
      <c r="H293" s="129"/>
    </row>
  </sheetData>
  <mergeCells count="438">
    <mergeCell ref="A67:B67"/>
    <mergeCell ref="A197:B197"/>
    <mergeCell ref="C188:D188"/>
    <mergeCell ref="C177:D177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A164:B164"/>
    <mergeCell ref="C164:D164"/>
    <mergeCell ref="A153:B153"/>
    <mergeCell ref="A154:B154"/>
    <mergeCell ref="A155:B155"/>
    <mergeCell ref="A156:B156"/>
    <mergeCell ref="A157:B157"/>
    <mergeCell ref="A158:B158"/>
    <mergeCell ref="A159:B159"/>
    <mergeCell ref="A171:H171"/>
    <mergeCell ref="A187:B187"/>
    <mergeCell ref="A188:B188"/>
    <mergeCell ref="C216:D216"/>
    <mergeCell ref="C221:D221"/>
    <mergeCell ref="A215:B215"/>
    <mergeCell ref="C214:D214"/>
    <mergeCell ref="A220:B220"/>
    <mergeCell ref="A217:H217"/>
    <mergeCell ref="A200:H200"/>
    <mergeCell ref="A212:B212"/>
    <mergeCell ref="A211:B211"/>
    <mergeCell ref="C211:D211"/>
    <mergeCell ref="C203:D203"/>
    <mergeCell ref="A214:B214"/>
    <mergeCell ref="C204:D204"/>
    <mergeCell ref="C229:D229"/>
    <mergeCell ref="A221:B221"/>
    <mergeCell ref="C220:D220"/>
    <mergeCell ref="A226:B226"/>
    <mergeCell ref="C226:D226"/>
    <mergeCell ref="A222:B222"/>
    <mergeCell ref="A227:H227"/>
    <mergeCell ref="C207:D207"/>
    <mergeCell ref="C212:D212"/>
    <mergeCell ref="C209:D209"/>
    <mergeCell ref="A207:B207"/>
    <mergeCell ref="A216:B216"/>
    <mergeCell ref="C215:D215"/>
    <mergeCell ref="C219:D219"/>
    <mergeCell ref="A219:B219"/>
    <mergeCell ref="A213:B213"/>
    <mergeCell ref="A218:B218"/>
    <mergeCell ref="C218:D218"/>
    <mergeCell ref="A225:B225"/>
    <mergeCell ref="C225:D225"/>
    <mergeCell ref="C222:D222"/>
    <mergeCell ref="A223:H223"/>
    <mergeCell ref="A224:B224"/>
    <mergeCell ref="C224:D224"/>
    <mergeCell ref="C244:D244"/>
    <mergeCell ref="A244:B244"/>
    <mergeCell ref="A189:B189"/>
    <mergeCell ref="A194:B194"/>
    <mergeCell ref="A192:B192"/>
    <mergeCell ref="C189:D189"/>
    <mergeCell ref="A203:B203"/>
    <mergeCell ref="A204:B204"/>
    <mergeCell ref="C213:D213"/>
    <mergeCell ref="A193:B193"/>
    <mergeCell ref="A205:B205"/>
    <mergeCell ref="C205:D205"/>
    <mergeCell ref="A206:B206"/>
    <mergeCell ref="C206:D206"/>
    <mergeCell ref="A208:B208"/>
    <mergeCell ref="C208:D208"/>
    <mergeCell ref="A210:B210"/>
    <mergeCell ref="C210:D210"/>
    <mergeCell ref="C199:D199"/>
    <mergeCell ref="A209:B209"/>
    <mergeCell ref="C243:D243"/>
    <mergeCell ref="A237:H237"/>
    <mergeCell ref="A243:B243"/>
    <mergeCell ref="A242:B242"/>
    <mergeCell ref="A236:B236"/>
    <mergeCell ref="C236:D236"/>
    <mergeCell ref="A231:H231"/>
    <mergeCell ref="A232:B232"/>
    <mergeCell ref="C232:D232"/>
    <mergeCell ref="C234:D234"/>
    <mergeCell ref="A235:B235"/>
    <mergeCell ref="C242:D242"/>
    <mergeCell ref="C228:D228"/>
    <mergeCell ref="A230:B230"/>
    <mergeCell ref="A228:B228"/>
    <mergeCell ref="A234:B234"/>
    <mergeCell ref="C233:D233"/>
    <mergeCell ref="A238:B238"/>
    <mergeCell ref="C238:D238"/>
    <mergeCell ref="A233:B233"/>
    <mergeCell ref="A229:B229"/>
    <mergeCell ref="C235:D235"/>
    <mergeCell ref="C230:D230"/>
    <mergeCell ref="A241:B241"/>
    <mergeCell ref="A239:B239"/>
    <mergeCell ref="C239:D239"/>
    <mergeCell ref="A240:B240"/>
    <mergeCell ref="C240:D240"/>
    <mergeCell ref="A252:B252"/>
    <mergeCell ref="A253:B253"/>
    <mergeCell ref="C252:D252"/>
    <mergeCell ref="A249:H249"/>
    <mergeCell ref="A250:B250"/>
    <mergeCell ref="C250:D250"/>
    <mergeCell ref="A251:B251"/>
    <mergeCell ref="A248:B248"/>
    <mergeCell ref="C247:D247"/>
    <mergeCell ref="C251:D251"/>
    <mergeCell ref="A245:B245"/>
    <mergeCell ref="C246:D246"/>
    <mergeCell ref="A247:B247"/>
    <mergeCell ref="C248:D248"/>
    <mergeCell ref="A246:B246"/>
    <mergeCell ref="C245:D245"/>
    <mergeCell ref="C241:D241"/>
    <mergeCell ref="C284:D284"/>
    <mergeCell ref="A261:B261"/>
    <mergeCell ref="C276:D276"/>
    <mergeCell ref="A262:B262"/>
    <mergeCell ref="A265:B265"/>
    <mergeCell ref="A275:B275"/>
    <mergeCell ref="C275:D275"/>
    <mergeCell ref="A276:B276"/>
    <mergeCell ref="C273:D273"/>
    <mergeCell ref="A272:B272"/>
    <mergeCell ref="A273:B273"/>
    <mergeCell ref="A274:B274"/>
    <mergeCell ref="C268:D268"/>
    <mergeCell ref="C281:D281"/>
    <mergeCell ref="C267:D267"/>
    <mergeCell ref="C254:D254"/>
    <mergeCell ref="C258:D258"/>
    <mergeCell ref="C259:D259"/>
    <mergeCell ref="C257:D257"/>
    <mergeCell ref="A257:B257"/>
    <mergeCell ref="A255:B255"/>
    <mergeCell ref="C253:D253"/>
    <mergeCell ref="A254:B254"/>
    <mergeCell ref="C266:D266"/>
    <mergeCell ref="A260:B260"/>
    <mergeCell ref="C263:D263"/>
    <mergeCell ref="C264:D264"/>
    <mergeCell ref="C262:D262"/>
    <mergeCell ref="A263:B263"/>
    <mergeCell ref="C265:D265"/>
    <mergeCell ref="A266:B266"/>
    <mergeCell ref="C255:D255"/>
    <mergeCell ref="A264:B264"/>
    <mergeCell ref="A285:B285"/>
    <mergeCell ref="A256:B256"/>
    <mergeCell ref="A280:B280"/>
    <mergeCell ref="C260:D260"/>
    <mergeCell ref="A282:B282"/>
    <mergeCell ref="C282:D282"/>
    <mergeCell ref="C280:D280"/>
    <mergeCell ref="C261:D261"/>
    <mergeCell ref="A278:B278"/>
    <mergeCell ref="A279:B279"/>
    <mergeCell ref="C277:D277"/>
    <mergeCell ref="C278:D278"/>
    <mergeCell ref="C279:D279"/>
    <mergeCell ref="C274:D274"/>
    <mergeCell ref="A258:B258"/>
    <mergeCell ref="A283:B283"/>
    <mergeCell ref="A259:B259"/>
    <mergeCell ref="C256:D256"/>
    <mergeCell ref="A277:B277"/>
    <mergeCell ref="A281:B281"/>
    <mergeCell ref="A271:B271"/>
    <mergeCell ref="A267:B267"/>
    <mergeCell ref="A284:B284"/>
    <mergeCell ref="C283:D283"/>
    <mergeCell ref="C293:D293"/>
    <mergeCell ref="A293:B293"/>
    <mergeCell ref="C269:D269"/>
    <mergeCell ref="C270:D270"/>
    <mergeCell ref="C271:D271"/>
    <mergeCell ref="A268:B268"/>
    <mergeCell ref="A269:B269"/>
    <mergeCell ref="A270:B270"/>
    <mergeCell ref="C290:D290"/>
    <mergeCell ref="C291:D291"/>
    <mergeCell ref="C292:D292"/>
    <mergeCell ref="A290:B290"/>
    <mergeCell ref="C285:D285"/>
    <mergeCell ref="C286:D286"/>
    <mergeCell ref="A286:B286"/>
    <mergeCell ref="A291:B291"/>
    <mergeCell ref="C272:D272"/>
    <mergeCell ref="C289:D289"/>
    <mergeCell ref="C288:D288"/>
    <mergeCell ref="C287:D287"/>
    <mergeCell ref="A292:B292"/>
    <mergeCell ref="A288:B288"/>
    <mergeCell ref="A289:B289"/>
    <mergeCell ref="A287:B287"/>
    <mergeCell ref="C198:D198"/>
    <mergeCell ref="C202:D202"/>
    <mergeCell ref="A202:B202"/>
    <mergeCell ref="C187:D187"/>
    <mergeCell ref="A190:B190"/>
    <mergeCell ref="A191:B191"/>
    <mergeCell ref="C193:D193"/>
    <mergeCell ref="C194:D194"/>
    <mergeCell ref="C192:D192"/>
    <mergeCell ref="A195:H195"/>
    <mergeCell ref="A196:B196"/>
    <mergeCell ref="C196:D196"/>
    <mergeCell ref="A198:B198"/>
    <mergeCell ref="C191:D191"/>
    <mergeCell ref="C190:D190"/>
    <mergeCell ref="A199:B199"/>
    <mergeCell ref="A201:B201"/>
    <mergeCell ref="C201:D201"/>
    <mergeCell ref="A117:B117"/>
    <mergeCell ref="C121:D121"/>
    <mergeCell ref="A108:H108"/>
    <mergeCell ref="A99:B99"/>
    <mergeCell ref="A81:H81"/>
    <mergeCell ref="A107:B107"/>
    <mergeCell ref="A82:B82"/>
    <mergeCell ref="A104:B104"/>
    <mergeCell ref="C197:D197"/>
    <mergeCell ref="C184:D184"/>
    <mergeCell ref="A186:B186"/>
    <mergeCell ref="A174:H174"/>
    <mergeCell ref="A83:B83"/>
    <mergeCell ref="A96:B96"/>
    <mergeCell ref="A86:B86"/>
    <mergeCell ref="A100:B100"/>
    <mergeCell ref="A103:B103"/>
    <mergeCell ref="A101:B101"/>
    <mergeCell ref="A105:B105"/>
    <mergeCell ref="A106:B106"/>
    <mergeCell ref="A94:B94"/>
    <mergeCell ref="A93:B93"/>
    <mergeCell ref="C124:D124"/>
    <mergeCell ref="A84:B84"/>
    <mergeCell ref="A89:B89"/>
    <mergeCell ref="A90:B90"/>
    <mergeCell ref="A102:B102"/>
    <mergeCell ref="D88:D90"/>
    <mergeCell ref="A125:B125"/>
    <mergeCell ref="C117:D117"/>
    <mergeCell ref="C123:D123"/>
    <mergeCell ref="A123:B123"/>
    <mergeCell ref="A120:B120"/>
    <mergeCell ref="A88:B88"/>
    <mergeCell ref="D100:D102"/>
    <mergeCell ref="A97:B97"/>
    <mergeCell ref="A98:B98"/>
    <mergeCell ref="D92:D99"/>
    <mergeCell ref="D103:D107"/>
    <mergeCell ref="A87:B87"/>
    <mergeCell ref="A109:B109"/>
    <mergeCell ref="C119:D119"/>
    <mergeCell ref="A121:B121"/>
    <mergeCell ref="C120:D120"/>
    <mergeCell ref="A122:H122"/>
    <mergeCell ref="A91:H91"/>
    <mergeCell ref="A177:B177"/>
    <mergeCell ref="A175:B175"/>
    <mergeCell ref="A181:B181"/>
    <mergeCell ref="C181:D181"/>
    <mergeCell ref="A178:B178"/>
    <mergeCell ref="C178:D178"/>
    <mergeCell ref="A179:B179"/>
    <mergeCell ref="C179:D179"/>
    <mergeCell ref="A180:B180"/>
    <mergeCell ref="C180:D180"/>
    <mergeCell ref="A176:B176"/>
    <mergeCell ref="C176:D17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50:D150"/>
    <mergeCell ref="C151:D151"/>
    <mergeCell ref="C148:D148"/>
    <mergeCell ref="C149:D149"/>
    <mergeCell ref="C173:D173"/>
    <mergeCell ref="C162:D162"/>
    <mergeCell ref="A163:B163"/>
    <mergeCell ref="C163:D163"/>
    <mergeCell ref="A170:H170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46:B146"/>
    <mergeCell ref="A147:B147"/>
    <mergeCell ref="A148:B148"/>
    <mergeCell ref="A149:B149"/>
    <mergeCell ref="A150:B150"/>
    <mergeCell ref="A151:B151"/>
    <mergeCell ref="A152:B152"/>
    <mergeCell ref="A124:B124"/>
    <mergeCell ref="A126:H126"/>
    <mergeCell ref="A127:B127"/>
    <mergeCell ref="A128:B128"/>
    <mergeCell ref="A129:B129"/>
    <mergeCell ref="A130:B130"/>
    <mergeCell ref="C136:D136"/>
    <mergeCell ref="C145:D145"/>
    <mergeCell ref="C146:D146"/>
    <mergeCell ref="C147:D147"/>
    <mergeCell ref="A131:B131"/>
    <mergeCell ref="A132:B132"/>
    <mergeCell ref="A133:B133"/>
    <mergeCell ref="A134:B134"/>
    <mergeCell ref="A135:B135"/>
    <mergeCell ref="A136:B136"/>
    <mergeCell ref="A145:B145"/>
    <mergeCell ref="A25:H25"/>
    <mergeCell ref="C186:D186"/>
    <mergeCell ref="A114:H114"/>
    <mergeCell ref="A113:H113"/>
    <mergeCell ref="C116:D116"/>
    <mergeCell ref="A116:B116"/>
    <mergeCell ref="A172:B172"/>
    <mergeCell ref="C172:D172"/>
    <mergeCell ref="C185:D185"/>
    <mergeCell ref="A182:H182"/>
    <mergeCell ref="A183:B183"/>
    <mergeCell ref="C183:D183"/>
    <mergeCell ref="A185:B185"/>
    <mergeCell ref="C175:D175"/>
    <mergeCell ref="A160:H160"/>
    <mergeCell ref="A161:B161"/>
    <mergeCell ref="C161:D161"/>
    <mergeCell ref="A162:B162"/>
    <mergeCell ref="C125:D125"/>
    <mergeCell ref="A115:B115"/>
    <mergeCell ref="C115:D115"/>
    <mergeCell ref="A184:B184"/>
    <mergeCell ref="A119:B119"/>
    <mergeCell ref="A118:H118"/>
    <mergeCell ref="A14:A18"/>
    <mergeCell ref="D14:D18"/>
    <mergeCell ref="A19:H19"/>
    <mergeCell ref="A20:A24"/>
    <mergeCell ref="D20:D24"/>
    <mergeCell ref="A2:H2"/>
    <mergeCell ref="A5:H5"/>
    <mergeCell ref="A1:G1"/>
    <mergeCell ref="A4:B4"/>
    <mergeCell ref="C4:D4"/>
    <mergeCell ref="A3:G3"/>
    <mergeCell ref="A8:A12"/>
    <mergeCell ref="A7:H7"/>
    <mergeCell ref="D8:D12"/>
    <mergeCell ref="A13:H13"/>
    <mergeCell ref="D72:D73"/>
    <mergeCell ref="D68:D71"/>
    <mergeCell ref="A111:B111"/>
    <mergeCell ref="A72:B72"/>
    <mergeCell ref="A26:A30"/>
    <mergeCell ref="A65:H65"/>
    <mergeCell ref="A50:A64"/>
    <mergeCell ref="A66:B66"/>
    <mergeCell ref="A69:B69"/>
    <mergeCell ref="A73:B73"/>
    <mergeCell ref="A68:B68"/>
    <mergeCell ref="A92:B92"/>
    <mergeCell ref="A95:B95"/>
    <mergeCell ref="A42:A43"/>
    <mergeCell ref="D42:D43"/>
    <mergeCell ref="D26:D30"/>
    <mergeCell ref="A31:H31"/>
    <mergeCell ref="D32:D35"/>
    <mergeCell ref="A110:B110"/>
    <mergeCell ref="D82:D87"/>
    <mergeCell ref="A47:A48"/>
    <mergeCell ref="A49:H49"/>
    <mergeCell ref="D47:D48"/>
    <mergeCell ref="A85:B85"/>
    <mergeCell ref="H232:H236"/>
    <mergeCell ref="A44:H44"/>
    <mergeCell ref="A32:A35"/>
    <mergeCell ref="D60:D64"/>
    <mergeCell ref="A71:B71"/>
    <mergeCell ref="A70:B70"/>
    <mergeCell ref="A80:B80"/>
    <mergeCell ref="D75:D80"/>
    <mergeCell ref="D55:D59"/>
    <mergeCell ref="D50:D54"/>
    <mergeCell ref="A36:H36"/>
    <mergeCell ref="D37:D40"/>
    <mergeCell ref="A37:A40"/>
    <mergeCell ref="A45:A46"/>
    <mergeCell ref="D45:D46"/>
    <mergeCell ref="A74:H74"/>
    <mergeCell ref="A79:B79"/>
    <mergeCell ref="A76:B76"/>
    <mergeCell ref="A41:H41"/>
    <mergeCell ref="A75:B75"/>
    <mergeCell ref="A77:B77"/>
    <mergeCell ref="A78:B78"/>
    <mergeCell ref="A112:B112"/>
    <mergeCell ref="A173:B173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C137:D137"/>
    <mergeCell ref="C138:D138"/>
    <mergeCell ref="C139:D139"/>
    <mergeCell ref="C140:D140"/>
    <mergeCell ref="C141:D141"/>
    <mergeCell ref="C142:D142"/>
    <mergeCell ref="C143:D143"/>
    <mergeCell ref="C144:D14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1200" r:id="rId1"/>
  <rowBreaks count="4" manualBreakCount="4">
    <brk id="48" max="16383" man="1"/>
    <brk id="107" max="16383" man="1"/>
    <brk id="169" max="16383" man="1"/>
    <brk id="2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5"/>
  <sheetViews>
    <sheetView view="pageBreakPreview" topLeftCell="A55" zoomScaleSheetLayoutView="100" zoomScalePageLayoutView="90" workbookViewId="0">
      <selection activeCell="F62" sqref="F62"/>
    </sheetView>
  </sheetViews>
  <sheetFormatPr defaultColWidth="9.28515625" defaultRowHeight="12.75"/>
  <cols>
    <col min="1" max="1" width="3.5703125" style="3" customWidth="1"/>
    <col min="2" max="2" width="30.5703125" style="3" customWidth="1"/>
    <col min="3" max="3" width="59.28515625" style="3" customWidth="1"/>
    <col min="4" max="4" width="12.28515625" style="9" customWidth="1"/>
    <col min="5" max="5" width="15.42578125" style="3" customWidth="1"/>
    <col min="6" max="6" width="21.7109375" style="3" customWidth="1"/>
    <col min="7" max="7" width="13.5703125" style="32" customWidth="1"/>
    <col min="8" max="8" width="13.5703125" style="32" hidden="1" customWidth="1"/>
    <col min="9" max="9" width="15" style="3" hidden="1" customWidth="1"/>
    <col min="10" max="10" width="9.28515625" style="3" hidden="1" customWidth="1"/>
    <col min="11" max="11" width="10" style="3" customWidth="1"/>
    <col min="12" max="16384" width="9.28515625" style="3"/>
  </cols>
  <sheetData>
    <row r="1" spans="1:10" ht="42" customHeight="1">
      <c r="A1" s="703" t="s">
        <v>6</v>
      </c>
      <c r="B1" s="703"/>
      <c r="C1" s="703"/>
      <c r="D1" s="703"/>
      <c r="E1" s="703"/>
      <c r="F1" s="703"/>
      <c r="G1" s="78">
        <v>42388</v>
      </c>
      <c r="H1" s="30"/>
      <c r="I1" s="12"/>
      <c r="J1" s="12"/>
    </row>
    <row r="2" spans="1:10" ht="15.75">
      <c r="B2" s="14"/>
      <c r="C2" s="14" t="s">
        <v>11</v>
      </c>
      <c r="D2" s="10"/>
      <c r="E2" s="14"/>
      <c r="F2" s="14"/>
      <c r="G2" s="95">
        <v>310</v>
      </c>
      <c r="H2" s="28"/>
      <c r="I2" s="14"/>
      <c r="J2" s="14"/>
    </row>
    <row r="3" spans="1:10" ht="15.75">
      <c r="B3" s="13"/>
      <c r="C3" s="13" t="s">
        <v>140</v>
      </c>
      <c r="D3" s="10"/>
      <c r="E3" s="13"/>
      <c r="F3" s="13"/>
      <c r="G3" s="28"/>
      <c r="H3" s="28"/>
      <c r="I3" s="13"/>
      <c r="J3" s="13"/>
    </row>
    <row r="4" spans="1:10" ht="18.75">
      <c r="B4" s="8" t="s">
        <v>116</v>
      </c>
      <c r="C4" s="7"/>
      <c r="D4" s="704" t="s">
        <v>81</v>
      </c>
      <c r="E4" s="704"/>
      <c r="F4" s="704"/>
      <c r="G4" s="31"/>
      <c r="H4" s="31"/>
      <c r="I4" s="6"/>
      <c r="J4" s="5"/>
    </row>
    <row r="5" spans="1:10" ht="27" customHeight="1">
      <c r="A5" s="705" t="s">
        <v>2</v>
      </c>
      <c r="B5" s="705"/>
      <c r="C5" s="15" t="s">
        <v>0</v>
      </c>
      <c r="D5" s="15" t="s">
        <v>5</v>
      </c>
      <c r="E5" s="18" t="s">
        <v>42</v>
      </c>
      <c r="F5" s="18" t="s">
        <v>43</v>
      </c>
      <c r="G5" s="27" t="s">
        <v>167</v>
      </c>
      <c r="H5" s="51"/>
    </row>
    <row r="6" spans="1:10" ht="31.5" customHeight="1">
      <c r="A6" s="691" t="s">
        <v>84</v>
      </c>
      <c r="B6" s="692"/>
      <c r="C6" s="692"/>
      <c r="D6" s="692"/>
      <c r="E6" s="692"/>
      <c r="F6" s="692"/>
      <c r="G6" s="692"/>
      <c r="H6" s="692"/>
      <c r="I6" s="692"/>
      <c r="J6" s="693"/>
    </row>
    <row r="7" spans="1:10" ht="93" customHeight="1">
      <c r="A7" s="706" t="s">
        <v>268</v>
      </c>
      <c r="B7" s="707"/>
      <c r="C7" s="86" t="s">
        <v>272</v>
      </c>
      <c r="D7" s="87" t="s">
        <v>1</v>
      </c>
      <c r="E7" s="88">
        <f>F7/0.8</f>
        <v>9571.25</v>
      </c>
      <c r="F7" s="94">
        <f>24.7*G2</f>
        <v>7657</v>
      </c>
      <c r="G7" s="80"/>
      <c r="H7" s="23">
        <v>4600</v>
      </c>
      <c r="I7" s="48">
        <f>H7/186</f>
        <v>24.731182795698924</v>
      </c>
      <c r="J7" s="3">
        <f>I7*256</f>
        <v>6331.1827956989246</v>
      </c>
    </row>
    <row r="8" spans="1:10" ht="93" customHeight="1">
      <c r="A8" s="706" t="s">
        <v>269</v>
      </c>
      <c r="B8" s="707"/>
      <c r="C8" s="86" t="s">
        <v>273</v>
      </c>
      <c r="D8" s="87" t="s">
        <v>1</v>
      </c>
      <c r="E8" s="21">
        <f>F8/0.8</f>
        <v>17584.75</v>
      </c>
      <c r="F8" s="94">
        <f>45.38*G2</f>
        <v>14067.800000000001</v>
      </c>
      <c r="G8" s="16"/>
      <c r="H8" s="72"/>
      <c r="I8" s="48"/>
    </row>
    <row r="9" spans="1:10" ht="27.75" customHeight="1">
      <c r="A9" s="691" t="s">
        <v>155</v>
      </c>
      <c r="B9" s="692"/>
      <c r="C9" s="692"/>
      <c r="D9" s="692"/>
      <c r="E9" s="692"/>
      <c r="F9" s="692"/>
      <c r="G9" s="693"/>
      <c r="H9" s="52"/>
      <c r="I9" s="48"/>
      <c r="J9" s="3">
        <f t="shared" ref="J9:J96" si="0">I9*256</f>
        <v>0</v>
      </c>
    </row>
    <row r="10" spans="1:10" ht="96" customHeight="1">
      <c r="A10" s="708" t="s">
        <v>157</v>
      </c>
      <c r="B10" s="709"/>
      <c r="C10" s="1" t="s">
        <v>162</v>
      </c>
      <c r="D10" s="20" t="s">
        <v>1</v>
      </c>
      <c r="E10" s="21">
        <f>F10/0.8</f>
        <v>58125</v>
      </c>
      <c r="F10" s="23">
        <f>150*G2</f>
        <v>46500</v>
      </c>
      <c r="G10" s="16"/>
      <c r="H10" s="23">
        <v>27900</v>
      </c>
      <c r="I10" s="48">
        <f>H10/186</f>
        <v>150</v>
      </c>
      <c r="J10" s="3">
        <f>I10*256</f>
        <v>38400</v>
      </c>
    </row>
    <row r="11" spans="1:10" ht="27.75" customHeight="1">
      <c r="A11" s="691" t="s">
        <v>156</v>
      </c>
      <c r="B11" s="692"/>
      <c r="C11" s="692"/>
      <c r="D11" s="692"/>
      <c r="E11" s="692"/>
      <c r="F11" s="692"/>
      <c r="G11" s="693"/>
      <c r="H11" s="52"/>
      <c r="I11" s="48">
        <f t="shared" ref="I11:I98" si="1">H11/186</f>
        <v>0</v>
      </c>
      <c r="J11" s="3">
        <f t="shared" si="0"/>
        <v>0</v>
      </c>
    </row>
    <row r="12" spans="1:10" ht="84">
      <c r="A12" s="688" t="s">
        <v>158</v>
      </c>
      <c r="B12" s="690"/>
      <c r="C12" s="1" t="s">
        <v>163</v>
      </c>
      <c r="D12" s="20" t="s">
        <v>1</v>
      </c>
      <c r="E12" s="21">
        <f>F12/0.8</f>
        <v>80212.5</v>
      </c>
      <c r="F12" s="23">
        <f>207*G2</f>
        <v>64170</v>
      </c>
      <c r="G12" s="16"/>
      <c r="H12" s="23">
        <v>38500</v>
      </c>
      <c r="I12" s="48">
        <f>H12/186</f>
        <v>206.98924731182797</v>
      </c>
      <c r="J12" s="3">
        <f t="shared" si="0"/>
        <v>52989.247311827959</v>
      </c>
    </row>
    <row r="13" spans="1:10" ht="84">
      <c r="A13" s="688" t="s">
        <v>159</v>
      </c>
      <c r="B13" s="690"/>
      <c r="C13" s="1" t="s">
        <v>164</v>
      </c>
      <c r="D13" s="20" t="s">
        <v>1</v>
      </c>
      <c r="E13" s="21">
        <f>F13/0.8</f>
        <v>89163.75</v>
      </c>
      <c r="F13" s="23">
        <f>230.1*G2</f>
        <v>71331</v>
      </c>
      <c r="G13" s="16"/>
      <c r="H13" s="23">
        <v>42800</v>
      </c>
      <c r="I13" s="48">
        <f>H13/186</f>
        <v>230.10752688172042</v>
      </c>
      <c r="J13" s="3">
        <f t="shared" si="0"/>
        <v>58907.526881720427</v>
      </c>
    </row>
    <row r="14" spans="1:10" ht="84">
      <c r="A14" s="688" t="s">
        <v>160</v>
      </c>
      <c r="B14" s="690"/>
      <c r="C14" s="1" t="s">
        <v>165</v>
      </c>
      <c r="D14" s="20" t="s">
        <v>1</v>
      </c>
      <c r="E14" s="21">
        <f>F14/0.8</f>
        <v>95208.75</v>
      </c>
      <c r="F14" s="23">
        <f>245.7*G2</f>
        <v>76167</v>
      </c>
      <c r="G14" s="16"/>
      <c r="H14" s="23">
        <v>45700</v>
      </c>
      <c r="I14" s="48">
        <f>H14/186</f>
        <v>245.69892473118279</v>
      </c>
      <c r="J14" s="3">
        <f t="shared" si="0"/>
        <v>62898.924731182793</v>
      </c>
    </row>
    <row r="15" spans="1:10" ht="84">
      <c r="A15" s="688" t="s">
        <v>161</v>
      </c>
      <c r="B15" s="690"/>
      <c r="C15" s="1" t="s">
        <v>166</v>
      </c>
      <c r="D15" s="20" t="s">
        <v>1</v>
      </c>
      <c r="E15" s="21">
        <f>F15/0.8</f>
        <v>98347.5</v>
      </c>
      <c r="F15" s="23">
        <f>253.8*G2</f>
        <v>78678</v>
      </c>
      <c r="G15" s="16"/>
      <c r="H15" s="23">
        <v>47200</v>
      </c>
      <c r="I15" s="48">
        <f t="shared" si="1"/>
        <v>253.76344086021504</v>
      </c>
      <c r="J15" s="3">
        <f t="shared" si="0"/>
        <v>64963.440860215051</v>
      </c>
    </row>
    <row r="16" spans="1:10" ht="27.75" customHeight="1">
      <c r="A16" s="691" t="s">
        <v>86</v>
      </c>
      <c r="B16" s="692"/>
      <c r="C16" s="692"/>
      <c r="D16" s="692"/>
      <c r="E16" s="692"/>
      <c r="F16" s="692"/>
      <c r="G16" s="693"/>
      <c r="H16" s="52"/>
      <c r="I16" s="48">
        <f t="shared" si="1"/>
        <v>0</v>
      </c>
      <c r="J16" s="3">
        <f t="shared" si="0"/>
        <v>0</v>
      </c>
    </row>
    <row r="17" spans="1:10" ht="60">
      <c r="A17" s="688" t="s">
        <v>185</v>
      </c>
      <c r="B17" s="689"/>
      <c r="C17" s="1" t="s">
        <v>186</v>
      </c>
      <c r="D17" s="20" t="s">
        <v>1</v>
      </c>
      <c r="E17" s="21">
        <f t="shared" ref="E17:E39" si="2">F17/0.8</f>
        <v>49987.5</v>
      </c>
      <c r="F17" s="67">
        <f>129*G2</f>
        <v>39990</v>
      </c>
      <c r="G17" s="16"/>
      <c r="H17" s="23">
        <v>24000</v>
      </c>
      <c r="I17" s="48">
        <f t="shared" si="1"/>
        <v>129.03225806451613</v>
      </c>
      <c r="J17" s="3">
        <f t="shared" si="0"/>
        <v>33032.258064516129</v>
      </c>
    </row>
    <row r="18" spans="1:10" ht="60">
      <c r="A18" s="688" t="s">
        <v>189</v>
      </c>
      <c r="B18" s="689"/>
      <c r="C18" s="1" t="s">
        <v>196</v>
      </c>
      <c r="D18" s="20" t="s">
        <v>1</v>
      </c>
      <c r="E18" s="21">
        <f t="shared" si="2"/>
        <v>49987.5</v>
      </c>
      <c r="F18" s="67">
        <f>129*G2</f>
        <v>39990</v>
      </c>
      <c r="G18" s="16"/>
      <c r="H18" s="23"/>
      <c r="I18" s="48"/>
    </row>
    <row r="19" spans="1:10" ht="60">
      <c r="A19" s="688" t="s">
        <v>143</v>
      </c>
      <c r="B19" s="689"/>
      <c r="C19" s="1" t="s">
        <v>150</v>
      </c>
      <c r="D19" s="20" t="s">
        <v>1</v>
      </c>
      <c r="E19" s="21">
        <f t="shared" si="2"/>
        <v>49987.5</v>
      </c>
      <c r="F19" s="67">
        <f>129*G2</f>
        <v>39990</v>
      </c>
      <c r="G19" s="16"/>
      <c r="H19" s="23">
        <v>24000</v>
      </c>
      <c r="I19" s="48">
        <f t="shared" si="1"/>
        <v>129.03225806451613</v>
      </c>
      <c r="J19" s="3">
        <f t="shared" si="0"/>
        <v>33032.258064516129</v>
      </c>
    </row>
    <row r="20" spans="1:10" ht="75">
      <c r="A20" s="688" t="s">
        <v>144</v>
      </c>
      <c r="B20" s="689"/>
      <c r="C20" s="63" t="s">
        <v>168</v>
      </c>
      <c r="D20" s="20" t="s">
        <v>1</v>
      </c>
      <c r="E20" s="21">
        <f t="shared" si="2"/>
        <v>49987.5</v>
      </c>
      <c r="F20" s="67">
        <f>129*G2</f>
        <v>39990</v>
      </c>
      <c r="G20" s="16"/>
      <c r="H20" s="23">
        <v>24000</v>
      </c>
      <c r="I20" s="48">
        <f t="shared" si="1"/>
        <v>129.03225806451613</v>
      </c>
      <c r="J20" s="3">
        <f t="shared" si="0"/>
        <v>33032.258064516129</v>
      </c>
    </row>
    <row r="21" spans="1:10" ht="48">
      <c r="A21" s="688" t="s">
        <v>279</v>
      </c>
      <c r="B21" s="689"/>
      <c r="C21" s="1" t="s">
        <v>281</v>
      </c>
      <c r="D21" s="20" t="s">
        <v>1</v>
      </c>
      <c r="E21" s="21">
        <f t="shared" si="2"/>
        <v>48103.474999999999</v>
      </c>
      <c r="F21" s="67">
        <f>124.138*G2</f>
        <v>38482.78</v>
      </c>
      <c r="G21" s="16"/>
      <c r="H21" s="23"/>
      <c r="I21" s="48"/>
    </row>
    <row r="22" spans="1:10" ht="48">
      <c r="A22" s="688" t="s">
        <v>280</v>
      </c>
      <c r="B22" s="689"/>
      <c r="C22" s="1" t="s">
        <v>282</v>
      </c>
      <c r="D22" s="20" t="s">
        <v>1</v>
      </c>
      <c r="E22" s="21">
        <f t="shared" si="2"/>
        <v>48771.525000000001</v>
      </c>
      <c r="F22" s="67">
        <f>125.862*G2</f>
        <v>39017.22</v>
      </c>
      <c r="G22" s="16"/>
      <c r="H22" s="23"/>
      <c r="I22" s="48"/>
    </row>
    <row r="23" spans="1:10" ht="42" customHeight="1">
      <c r="A23" s="688" t="s">
        <v>10</v>
      </c>
      <c r="B23" s="689"/>
      <c r="C23" s="1" t="s">
        <v>111</v>
      </c>
      <c r="D23" s="20" t="s">
        <v>1</v>
      </c>
      <c r="E23" s="21">
        <f t="shared" si="2"/>
        <v>40532.5</v>
      </c>
      <c r="F23" s="67">
        <f>104.6*G2</f>
        <v>32426</v>
      </c>
      <c r="G23" s="16"/>
      <c r="H23" s="23">
        <v>19449.05</v>
      </c>
      <c r="I23" s="48">
        <f t="shared" si="1"/>
        <v>104.56478494623656</v>
      </c>
      <c r="J23" s="3">
        <f t="shared" si="0"/>
        <v>26768.584946236559</v>
      </c>
    </row>
    <row r="24" spans="1:10" ht="42" customHeight="1">
      <c r="A24" s="688" t="s">
        <v>274</v>
      </c>
      <c r="B24" s="690"/>
      <c r="C24" s="1" t="s">
        <v>111</v>
      </c>
      <c r="D24" s="20" t="s">
        <v>1</v>
      </c>
      <c r="E24" s="21">
        <f t="shared" si="2"/>
        <v>40487.162499999999</v>
      </c>
      <c r="F24" s="67">
        <f>104.483*G2</f>
        <v>32389.73</v>
      </c>
      <c r="G24" s="16"/>
      <c r="H24" s="23"/>
      <c r="I24" s="48"/>
    </row>
    <row r="25" spans="1:10" ht="42" customHeight="1">
      <c r="A25" s="688" t="s">
        <v>275</v>
      </c>
      <c r="B25" s="690"/>
      <c r="C25" s="1" t="s">
        <v>111</v>
      </c>
      <c r="D25" s="20" t="s">
        <v>1</v>
      </c>
      <c r="E25" s="21">
        <f t="shared" si="2"/>
        <v>40888.224999999999</v>
      </c>
      <c r="F25" s="67">
        <f>105.518*G2</f>
        <v>32710.58</v>
      </c>
      <c r="G25" s="16"/>
      <c r="H25" s="23"/>
      <c r="I25" s="48"/>
    </row>
    <row r="26" spans="1:10" ht="42" customHeight="1">
      <c r="A26" s="688" t="s">
        <v>276</v>
      </c>
      <c r="B26" s="690"/>
      <c r="C26" s="1" t="s">
        <v>111</v>
      </c>
      <c r="D26" s="20" t="s">
        <v>1</v>
      </c>
      <c r="E26" s="21">
        <f t="shared" si="2"/>
        <v>40888.224999999999</v>
      </c>
      <c r="F26" s="67">
        <f>105.518*G2</f>
        <v>32710.58</v>
      </c>
      <c r="G26" s="16"/>
      <c r="H26" s="23"/>
      <c r="I26" s="48"/>
    </row>
    <row r="27" spans="1:10" ht="42" customHeight="1">
      <c r="A27" s="688" t="s">
        <v>277</v>
      </c>
      <c r="B27" s="689"/>
      <c r="C27" s="1" t="s">
        <v>278</v>
      </c>
      <c r="D27" s="20" t="s">
        <v>1</v>
      </c>
      <c r="E27" s="21">
        <f t="shared" si="2"/>
        <v>57456.950000000004</v>
      </c>
      <c r="F27" s="67">
        <f>148.276*G2</f>
        <v>45965.560000000005</v>
      </c>
      <c r="G27" s="16"/>
      <c r="H27" s="23"/>
      <c r="I27" s="48"/>
    </row>
    <row r="28" spans="1:10" ht="33" customHeight="1">
      <c r="A28" s="688" t="s">
        <v>110</v>
      </c>
      <c r="B28" s="690"/>
      <c r="C28" s="1" t="s">
        <v>170</v>
      </c>
      <c r="D28" s="20" t="s">
        <v>1</v>
      </c>
      <c r="E28" s="21">
        <f t="shared" si="2"/>
        <v>25187.5</v>
      </c>
      <c r="F28" s="67">
        <f>65*G2</f>
        <v>20150</v>
      </c>
      <c r="G28" s="16"/>
      <c r="H28" s="23"/>
      <c r="I28" s="48"/>
    </row>
    <row r="29" spans="1:10" ht="33.75" customHeight="1">
      <c r="A29" s="688" t="s">
        <v>109</v>
      </c>
      <c r="B29" s="690"/>
      <c r="C29" s="1" t="s">
        <v>170</v>
      </c>
      <c r="D29" s="20" t="s">
        <v>1</v>
      </c>
      <c r="E29" s="21">
        <f t="shared" si="2"/>
        <v>28132.5</v>
      </c>
      <c r="F29" s="67">
        <f>72.6*G2</f>
        <v>22506</v>
      </c>
      <c r="G29" s="16"/>
      <c r="H29" s="23">
        <v>13500</v>
      </c>
      <c r="I29" s="48">
        <f t="shared" si="1"/>
        <v>72.58064516129032</v>
      </c>
      <c r="J29" s="3">
        <f t="shared" si="0"/>
        <v>18580.645161290322</v>
      </c>
    </row>
    <row r="30" spans="1:10" ht="39.75" customHeight="1">
      <c r="A30" s="688" t="s">
        <v>190</v>
      </c>
      <c r="B30" s="690"/>
      <c r="C30" s="1" t="s">
        <v>198</v>
      </c>
      <c r="D30" s="20" t="s">
        <v>1</v>
      </c>
      <c r="E30" s="21">
        <f t="shared" si="2"/>
        <v>28473.500000000004</v>
      </c>
      <c r="F30" s="67">
        <f>73.48*G2</f>
        <v>22778.800000000003</v>
      </c>
      <c r="G30" s="16"/>
      <c r="H30" s="23"/>
      <c r="I30" s="48"/>
    </row>
    <row r="31" spans="1:10" ht="40.5" customHeight="1">
      <c r="A31" s="688" t="s">
        <v>191</v>
      </c>
      <c r="B31" s="690"/>
      <c r="C31" s="1" t="s">
        <v>197</v>
      </c>
      <c r="D31" s="20" t="s">
        <v>1</v>
      </c>
      <c r="E31" s="21">
        <f t="shared" si="2"/>
        <v>28473.500000000004</v>
      </c>
      <c r="F31" s="67">
        <f>73.48*G2</f>
        <v>22778.800000000003</v>
      </c>
      <c r="G31" s="16"/>
      <c r="H31" s="23"/>
      <c r="I31" s="48"/>
    </row>
    <row r="32" spans="1:10" ht="40.5" customHeight="1">
      <c r="A32" s="688" t="s">
        <v>192</v>
      </c>
      <c r="B32" s="690"/>
      <c r="C32" s="1" t="s">
        <v>199</v>
      </c>
      <c r="D32" s="20" t="s">
        <v>1</v>
      </c>
      <c r="E32" s="21">
        <f t="shared" si="2"/>
        <v>28473.500000000004</v>
      </c>
      <c r="F32" s="67">
        <f>73.48*G2</f>
        <v>22778.800000000003</v>
      </c>
      <c r="G32" s="16"/>
      <c r="H32" s="23"/>
      <c r="I32" s="48"/>
    </row>
    <row r="33" spans="1:10" ht="34.5" customHeight="1">
      <c r="A33" s="688" t="s">
        <v>193</v>
      </c>
      <c r="B33" s="690"/>
      <c r="C33" s="1" t="s">
        <v>200</v>
      </c>
      <c r="D33" s="20" t="s">
        <v>1</v>
      </c>
      <c r="E33" s="21">
        <f t="shared" si="2"/>
        <v>28473.500000000004</v>
      </c>
      <c r="F33" s="67">
        <f>73.48*G2</f>
        <v>22778.800000000003</v>
      </c>
      <c r="G33" s="16"/>
      <c r="H33" s="23"/>
      <c r="I33" s="48"/>
    </row>
    <row r="34" spans="1:10" ht="28.5" customHeight="1">
      <c r="A34" s="688" t="s">
        <v>142</v>
      </c>
      <c r="B34" s="690"/>
      <c r="C34" s="1" t="s">
        <v>112</v>
      </c>
      <c r="D34" s="20" t="s">
        <v>1</v>
      </c>
      <c r="E34" s="21">
        <f>F34/0.8</f>
        <v>25637.775000000001</v>
      </c>
      <c r="F34" s="67">
        <f>66.162*G2</f>
        <v>20510.22</v>
      </c>
      <c r="G34" s="16"/>
      <c r="H34" s="23"/>
      <c r="I34" s="48"/>
    </row>
    <row r="35" spans="1:10" ht="31.5" customHeight="1">
      <c r="A35" s="688" t="s">
        <v>195</v>
      </c>
      <c r="B35" s="690"/>
      <c r="C35" s="1" t="s">
        <v>112</v>
      </c>
      <c r="D35" s="20" t="s">
        <v>1</v>
      </c>
      <c r="E35" s="21">
        <f>F35/0.8</f>
        <v>27372.612499999999</v>
      </c>
      <c r="F35" s="67">
        <f>70.639*G2</f>
        <v>21898.09</v>
      </c>
      <c r="G35" s="16"/>
      <c r="H35" s="23"/>
      <c r="I35" s="48"/>
    </row>
    <row r="36" spans="1:10" ht="30" customHeight="1">
      <c r="A36" s="688" t="s">
        <v>171</v>
      </c>
      <c r="B36" s="689"/>
      <c r="C36" s="1" t="s">
        <v>92</v>
      </c>
      <c r="D36" s="2" t="s">
        <v>1</v>
      </c>
      <c r="E36" s="21">
        <f t="shared" si="2"/>
        <v>22707.5</v>
      </c>
      <c r="F36" s="67">
        <f>58.6*G2</f>
        <v>18166</v>
      </c>
      <c r="G36" s="45"/>
      <c r="H36" s="23">
        <v>10900</v>
      </c>
      <c r="I36" s="48">
        <f t="shared" si="1"/>
        <v>58.602150537634408</v>
      </c>
      <c r="J36" s="3">
        <f t="shared" si="0"/>
        <v>15002.150537634408</v>
      </c>
    </row>
    <row r="37" spans="1:10" ht="31.5" customHeight="1">
      <c r="A37" s="688" t="s">
        <v>194</v>
      </c>
      <c r="B37" s="689"/>
      <c r="C37" s="1" t="s">
        <v>93</v>
      </c>
      <c r="D37" s="20"/>
      <c r="E37" s="21">
        <f t="shared" si="2"/>
        <v>22707.5</v>
      </c>
      <c r="F37" s="67">
        <f>58.6*G2</f>
        <v>18166</v>
      </c>
      <c r="G37" s="45"/>
      <c r="H37" s="23"/>
      <c r="I37" s="48"/>
    </row>
    <row r="38" spans="1:10" ht="30" customHeight="1">
      <c r="A38" s="722" t="s">
        <v>141</v>
      </c>
      <c r="B38" s="723"/>
      <c r="C38" s="1" t="s">
        <v>93</v>
      </c>
      <c r="D38" s="17" t="s">
        <v>1</v>
      </c>
      <c r="E38" s="21">
        <f t="shared" si="2"/>
        <v>8641.25</v>
      </c>
      <c r="F38" s="67">
        <f>22.3*G2</f>
        <v>6913</v>
      </c>
      <c r="G38" s="45"/>
      <c r="H38" s="23">
        <v>4149.55</v>
      </c>
      <c r="I38" s="48">
        <f t="shared" si="1"/>
        <v>22.309408602150537</v>
      </c>
      <c r="J38" s="3">
        <f t="shared" si="0"/>
        <v>5711.2086021505374</v>
      </c>
    </row>
    <row r="39" spans="1:10" ht="36.75" customHeight="1">
      <c r="A39" s="688" t="s">
        <v>113</v>
      </c>
      <c r="B39" s="690"/>
      <c r="C39" s="1" t="s">
        <v>114</v>
      </c>
      <c r="D39" s="20" t="s">
        <v>1</v>
      </c>
      <c r="E39" s="21">
        <f t="shared" si="2"/>
        <v>3138.75</v>
      </c>
      <c r="F39" s="67">
        <f>8.1*G2</f>
        <v>2511</v>
      </c>
      <c r="G39" s="26"/>
      <c r="H39" s="23">
        <v>1500</v>
      </c>
      <c r="I39" s="48">
        <f t="shared" si="1"/>
        <v>8.064516129032258</v>
      </c>
      <c r="J39" s="3">
        <f t="shared" si="0"/>
        <v>2064.516129032258</v>
      </c>
    </row>
    <row r="40" spans="1:10" ht="26.25" customHeight="1">
      <c r="A40" s="691" t="s">
        <v>87</v>
      </c>
      <c r="B40" s="692"/>
      <c r="C40" s="692"/>
      <c r="D40" s="692"/>
      <c r="E40" s="692"/>
      <c r="F40" s="692"/>
      <c r="G40" s="693"/>
      <c r="H40" s="52"/>
      <c r="I40" s="48">
        <f t="shared" si="1"/>
        <v>0</v>
      </c>
      <c r="J40" s="3">
        <f t="shared" si="0"/>
        <v>0</v>
      </c>
    </row>
    <row r="41" spans="1:10" ht="47.25" customHeight="1">
      <c r="A41" s="718" t="s">
        <v>88</v>
      </c>
      <c r="B41" s="719"/>
      <c r="C41" s="22" t="s">
        <v>169</v>
      </c>
      <c r="D41" s="20" t="s">
        <v>1</v>
      </c>
      <c r="E41" s="21">
        <f>F41/0.8</f>
        <v>5192.5</v>
      </c>
      <c r="F41" s="67">
        <f>13.4*G2</f>
        <v>4154</v>
      </c>
      <c r="G41" s="16"/>
      <c r="H41" s="23">
        <v>2500</v>
      </c>
      <c r="I41" s="48">
        <f t="shared" si="1"/>
        <v>13.440860215053764</v>
      </c>
      <c r="J41" s="3">
        <f t="shared" si="0"/>
        <v>3440.8602150537636</v>
      </c>
    </row>
    <row r="42" spans="1:10" ht="28.5" customHeight="1">
      <c r="A42" s="691" t="s">
        <v>85</v>
      </c>
      <c r="B42" s="692"/>
      <c r="C42" s="692"/>
      <c r="D42" s="692"/>
      <c r="E42" s="692"/>
      <c r="F42" s="692"/>
      <c r="G42" s="693"/>
      <c r="H42" s="52"/>
      <c r="I42" s="48">
        <f t="shared" si="1"/>
        <v>0</v>
      </c>
      <c r="J42" s="3">
        <f t="shared" si="0"/>
        <v>0</v>
      </c>
    </row>
    <row r="43" spans="1:10" ht="56.25" customHeight="1">
      <c r="A43" s="688" t="s">
        <v>236</v>
      </c>
      <c r="B43" s="689"/>
      <c r="C43" s="720" t="s">
        <v>232</v>
      </c>
      <c r="D43" s="20" t="s">
        <v>1</v>
      </c>
      <c r="E43" s="21">
        <f t="shared" ref="E43:E54" si="3">F43/0.8</f>
        <v>49793.75</v>
      </c>
      <c r="F43" s="67">
        <f>128.5*G2</f>
        <v>39835</v>
      </c>
      <c r="G43" s="727"/>
      <c r="H43" s="23">
        <v>23900</v>
      </c>
      <c r="I43" s="48">
        <f t="shared" si="1"/>
        <v>128.49462365591398</v>
      </c>
      <c r="J43" s="3">
        <f t="shared" si="0"/>
        <v>32894.62365591398</v>
      </c>
    </row>
    <row r="44" spans="1:10" ht="56.25" customHeight="1">
      <c r="A44" s="688" t="s">
        <v>237</v>
      </c>
      <c r="B44" s="689"/>
      <c r="C44" s="721"/>
      <c r="D44" s="20" t="s">
        <v>1</v>
      </c>
      <c r="E44" s="21">
        <f t="shared" si="3"/>
        <v>49793.75</v>
      </c>
      <c r="F44" s="67">
        <f>128.5*G2</f>
        <v>39835</v>
      </c>
      <c r="G44" s="728"/>
      <c r="H44" s="23">
        <v>23900</v>
      </c>
      <c r="I44" s="48">
        <f t="shared" si="1"/>
        <v>128.49462365591398</v>
      </c>
      <c r="J44" s="3">
        <f t="shared" si="0"/>
        <v>32894.62365591398</v>
      </c>
    </row>
    <row r="45" spans="1:10" ht="101.25">
      <c r="A45" s="688" t="s">
        <v>238</v>
      </c>
      <c r="B45" s="689"/>
      <c r="C45" s="59" t="s">
        <v>227</v>
      </c>
      <c r="D45" s="20" t="s">
        <v>1</v>
      </c>
      <c r="E45" s="21">
        <f t="shared" si="3"/>
        <v>48437.5</v>
      </c>
      <c r="F45" s="67">
        <f>125*G2</f>
        <v>38750</v>
      </c>
      <c r="G45" s="60"/>
      <c r="H45" s="23"/>
      <c r="I45" s="48"/>
    </row>
    <row r="46" spans="1:10" ht="101.25">
      <c r="A46" s="688" t="s">
        <v>239</v>
      </c>
      <c r="B46" s="690"/>
      <c r="C46" s="59" t="s">
        <v>184</v>
      </c>
      <c r="D46" s="20" t="s">
        <v>1</v>
      </c>
      <c r="E46" s="21">
        <f t="shared" si="3"/>
        <v>28326.25</v>
      </c>
      <c r="F46" s="67">
        <f>73.1*G2</f>
        <v>22661</v>
      </c>
      <c r="G46" s="58"/>
      <c r="H46" s="23">
        <v>13600</v>
      </c>
      <c r="I46" s="48">
        <f t="shared" si="1"/>
        <v>73.118279569892479</v>
      </c>
      <c r="J46" s="3">
        <f t="shared" si="0"/>
        <v>18718.279569892475</v>
      </c>
    </row>
    <row r="47" spans="1:10" ht="57.75" customHeight="1">
      <c r="A47" s="699" t="s">
        <v>240</v>
      </c>
      <c r="B47" s="700"/>
      <c r="C47" s="730" t="s">
        <v>183</v>
      </c>
      <c r="D47" s="16" t="s">
        <v>1</v>
      </c>
      <c r="E47" s="21">
        <f t="shared" si="3"/>
        <v>28473.500000000004</v>
      </c>
      <c r="F47" s="75">
        <f>73.48*G2</f>
        <v>22778.800000000003</v>
      </c>
      <c r="G47" s="89"/>
      <c r="H47" s="23">
        <v>13875</v>
      </c>
      <c r="I47" s="48">
        <f t="shared" si="1"/>
        <v>74.596774193548384</v>
      </c>
      <c r="J47" s="3">
        <f t="shared" si="0"/>
        <v>19096.774193548386</v>
      </c>
    </row>
    <row r="48" spans="1:10" ht="57.75" customHeight="1">
      <c r="A48" s="699" t="s">
        <v>241</v>
      </c>
      <c r="B48" s="700"/>
      <c r="C48" s="731"/>
      <c r="D48" s="16" t="s">
        <v>1</v>
      </c>
      <c r="E48" s="21">
        <f t="shared" si="3"/>
        <v>28473.500000000004</v>
      </c>
      <c r="F48" s="75">
        <f>73.48*G2</f>
        <v>22778.800000000003</v>
      </c>
      <c r="G48" s="89"/>
      <c r="H48" s="23"/>
      <c r="I48" s="48"/>
    </row>
    <row r="49" spans="1:12" ht="101.25">
      <c r="A49" s="699" t="s">
        <v>242</v>
      </c>
      <c r="B49" s="700"/>
      <c r="C49" s="90" t="s">
        <v>228</v>
      </c>
      <c r="D49" s="16" t="s">
        <v>1</v>
      </c>
      <c r="E49" s="21">
        <f t="shared" si="3"/>
        <v>35212.125</v>
      </c>
      <c r="F49" s="75">
        <f>90.87*G2</f>
        <v>28169.7</v>
      </c>
      <c r="G49" s="91"/>
      <c r="H49" s="23"/>
      <c r="I49" s="48"/>
    </row>
    <row r="50" spans="1:12" ht="60.75" customHeight="1">
      <c r="A50" s="688" t="s">
        <v>243</v>
      </c>
      <c r="B50" s="689"/>
      <c r="C50" s="720" t="s">
        <v>229</v>
      </c>
      <c r="D50" s="20" t="s">
        <v>1</v>
      </c>
      <c r="E50" s="21">
        <f t="shared" si="3"/>
        <v>17902.5</v>
      </c>
      <c r="F50" s="67">
        <f>46.2*G2</f>
        <v>14322</v>
      </c>
      <c r="G50" s="93"/>
      <c r="H50" s="23">
        <v>8600</v>
      </c>
      <c r="I50" s="48">
        <f t="shared" si="1"/>
        <v>46.236559139784944</v>
      </c>
      <c r="J50" s="3">
        <f t="shared" si="0"/>
        <v>11836.559139784946</v>
      </c>
    </row>
    <row r="51" spans="1:12" ht="60.75" customHeight="1">
      <c r="A51" s="688" t="s">
        <v>244</v>
      </c>
      <c r="B51" s="689"/>
      <c r="C51" s="721"/>
      <c r="D51" s="20" t="s">
        <v>1</v>
      </c>
      <c r="E51" s="21">
        <f t="shared" si="3"/>
        <v>19568.75</v>
      </c>
      <c r="F51" s="67">
        <f>50.5*G2</f>
        <v>15655</v>
      </c>
      <c r="G51" s="16" t="s">
        <v>271</v>
      </c>
      <c r="H51" s="23">
        <v>9400</v>
      </c>
      <c r="I51" s="48">
        <f t="shared" si="1"/>
        <v>50.537634408602152</v>
      </c>
      <c r="J51" s="3">
        <f t="shared" si="0"/>
        <v>12937.634408602151</v>
      </c>
    </row>
    <row r="52" spans="1:12" ht="101.25">
      <c r="A52" s="710" t="s">
        <v>245</v>
      </c>
      <c r="B52" s="689"/>
      <c r="C52" s="11" t="s">
        <v>187</v>
      </c>
      <c r="D52" s="20" t="s">
        <v>1</v>
      </c>
      <c r="E52" s="21">
        <f t="shared" si="3"/>
        <v>11780</v>
      </c>
      <c r="F52" s="67">
        <f>30.4*G2</f>
        <v>9424</v>
      </c>
      <c r="G52" s="29"/>
      <c r="H52" s="23">
        <v>5650</v>
      </c>
      <c r="I52" s="48">
        <f t="shared" si="1"/>
        <v>30.376344086021504</v>
      </c>
      <c r="J52" s="3">
        <f t="shared" si="0"/>
        <v>7776.3440860215051</v>
      </c>
    </row>
    <row r="53" spans="1:12" ht="101.25">
      <c r="A53" s="710" t="s">
        <v>246</v>
      </c>
      <c r="B53" s="689"/>
      <c r="C53" s="11" t="s">
        <v>230</v>
      </c>
      <c r="D53" s="19" t="s">
        <v>1</v>
      </c>
      <c r="E53" s="21">
        <f t="shared" si="3"/>
        <v>11780</v>
      </c>
      <c r="F53" s="67">
        <f>30.4*G2</f>
        <v>9424</v>
      </c>
      <c r="G53" s="16"/>
      <c r="H53" s="23">
        <v>5650</v>
      </c>
      <c r="I53" s="48">
        <f t="shared" si="1"/>
        <v>30.376344086021504</v>
      </c>
      <c r="J53" s="3">
        <f t="shared" si="0"/>
        <v>7776.3440860215051</v>
      </c>
    </row>
    <row r="54" spans="1:12" ht="101.25">
      <c r="A54" s="710" t="s">
        <v>247</v>
      </c>
      <c r="B54" s="689"/>
      <c r="C54" s="11" t="s">
        <v>188</v>
      </c>
      <c r="D54" s="2" t="s">
        <v>1</v>
      </c>
      <c r="E54" s="21">
        <f t="shared" si="3"/>
        <v>9997.5</v>
      </c>
      <c r="F54" s="67">
        <f>25.8*G2</f>
        <v>7998</v>
      </c>
      <c r="G54" s="16"/>
      <c r="H54" s="23">
        <v>4800</v>
      </c>
      <c r="I54" s="48">
        <f t="shared" si="1"/>
        <v>25.806451612903224</v>
      </c>
      <c r="J54" s="3">
        <f t="shared" si="0"/>
        <v>6606.4516129032254</v>
      </c>
    </row>
    <row r="55" spans="1:12" ht="16.5" customHeight="1">
      <c r="A55" s="712" t="s">
        <v>4</v>
      </c>
      <c r="B55" s="713"/>
      <c r="C55" s="713"/>
      <c r="D55" s="713"/>
      <c r="E55" s="713"/>
      <c r="F55" s="713"/>
      <c r="G55" s="714"/>
      <c r="H55" s="49"/>
      <c r="I55" s="48">
        <f t="shared" si="1"/>
        <v>0</v>
      </c>
      <c r="J55" s="3">
        <f t="shared" si="0"/>
        <v>0</v>
      </c>
    </row>
    <row r="56" spans="1:12" ht="12.75" customHeight="1">
      <c r="A56" s="715" t="s">
        <v>24</v>
      </c>
      <c r="B56" s="716"/>
      <c r="C56" s="716"/>
      <c r="D56" s="716"/>
      <c r="E56" s="716"/>
      <c r="F56" s="716"/>
      <c r="G56" s="717"/>
      <c r="H56" s="50"/>
      <c r="I56" s="48">
        <f t="shared" si="1"/>
        <v>0</v>
      </c>
      <c r="J56" s="3">
        <f t="shared" si="0"/>
        <v>0</v>
      </c>
    </row>
    <row r="57" spans="1:12" ht="24.75" customHeight="1">
      <c r="A57" s="688" t="s">
        <v>35</v>
      </c>
      <c r="B57" s="689"/>
      <c r="C57" s="22" t="s">
        <v>206</v>
      </c>
      <c r="D57" s="2" t="s">
        <v>1</v>
      </c>
      <c r="E57" s="70">
        <f t="shared" ref="E57:E62" si="4">F57/0.8</f>
        <v>52700</v>
      </c>
      <c r="F57" s="67">
        <f>136*G2</f>
        <v>42160</v>
      </c>
      <c r="G57" s="29"/>
      <c r="H57" s="23">
        <v>25300</v>
      </c>
      <c r="I57" s="48">
        <f t="shared" si="1"/>
        <v>136.02150537634409</v>
      </c>
      <c r="J57" s="3">
        <f t="shared" si="0"/>
        <v>34821.505376344088</v>
      </c>
    </row>
    <row r="58" spans="1:12" ht="24.75" customHeight="1">
      <c r="A58" s="688" t="s">
        <v>260</v>
      </c>
      <c r="B58" s="689"/>
      <c r="C58" s="22" t="s">
        <v>261</v>
      </c>
      <c r="D58" s="20" t="s">
        <v>1</v>
      </c>
      <c r="E58" s="70">
        <f t="shared" si="4"/>
        <v>48968.375</v>
      </c>
      <c r="F58" s="67">
        <f>126.37*G2</f>
        <v>39174.700000000004</v>
      </c>
      <c r="G58" s="29"/>
      <c r="H58" s="23"/>
      <c r="I58" s="48"/>
    </row>
    <row r="59" spans="1:12" ht="22.5" customHeight="1">
      <c r="A59" s="688" t="s">
        <v>36</v>
      </c>
      <c r="B59" s="689"/>
      <c r="C59" s="22" t="s">
        <v>207</v>
      </c>
      <c r="D59" s="2" t="s">
        <v>1</v>
      </c>
      <c r="E59" s="70">
        <f t="shared" si="4"/>
        <v>41268.75</v>
      </c>
      <c r="F59" s="67">
        <f>106.5*G2</f>
        <v>33015</v>
      </c>
      <c r="G59" s="16"/>
      <c r="H59" s="23">
        <v>19800</v>
      </c>
      <c r="I59" s="48">
        <f t="shared" si="1"/>
        <v>106.45161290322581</v>
      </c>
      <c r="J59" s="3">
        <f t="shared" si="0"/>
        <v>27251.612903225807</v>
      </c>
    </row>
    <row r="60" spans="1:12" ht="22.5" customHeight="1">
      <c r="A60" s="688" t="s">
        <v>37</v>
      </c>
      <c r="B60" s="689"/>
      <c r="C60" s="22" t="s">
        <v>208</v>
      </c>
      <c r="D60" s="2" t="s">
        <v>1</v>
      </c>
      <c r="E60" s="70">
        <f t="shared" si="4"/>
        <v>35843.75</v>
      </c>
      <c r="F60" s="67">
        <f>92.5*G2</f>
        <v>28675</v>
      </c>
      <c r="G60" s="29"/>
      <c r="H60" s="23">
        <v>17200</v>
      </c>
      <c r="I60" s="48">
        <f t="shared" si="1"/>
        <v>92.473118279569889</v>
      </c>
      <c r="J60" s="3">
        <f t="shared" si="0"/>
        <v>23673.118279569891</v>
      </c>
      <c r="L60" s="25"/>
    </row>
    <row r="61" spans="1:12" ht="24.75" customHeight="1">
      <c r="A61" s="688" t="s">
        <v>38</v>
      </c>
      <c r="B61" s="689"/>
      <c r="C61" s="22" t="s">
        <v>209</v>
      </c>
      <c r="D61" s="2" t="s">
        <v>1</v>
      </c>
      <c r="E61" s="70">
        <f t="shared" si="4"/>
        <v>27706.25</v>
      </c>
      <c r="F61" s="67">
        <f>71.5*G2</f>
        <v>22165</v>
      </c>
      <c r="G61" s="16"/>
      <c r="H61" s="23">
        <v>13300</v>
      </c>
      <c r="I61" s="48">
        <f t="shared" si="1"/>
        <v>71.505376344086017</v>
      </c>
      <c r="J61" s="3">
        <f t="shared" si="0"/>
        <v>18305.37634408602</v>
      </c>
    </row>
    <row r="62" spans="1:12" ht="24" customHeight="1">
      <c r="A62" s="688" t="s">
        <v>25</v>
      </c>
      <c r="B62" s="689"/>
      <c r="C62" s="22" t="s">
        <v>231</v>
      </c>
      <c r="D62" s="2" t="s">
        <v>1</v>
      </c>
      <c r="E62" s="70">
        <f t="shared" si="4"/>
        <v>58202.5</v>
      </c>
      <c r="F62" s="67">
        <f>150.2*G2</f>
        <v>46562</v>
      </c>
      <c r="G62" s="29"/>
      <c r="H62" s="23">
        <v>27929.032258064515</v>
      </c>
      <c r="I62" s="48">
        <f t="shared" si="1"/>
        <v>150.15608740894902</v>
      </c>
      <c r="J62" s="3">
        <f t="shared" si="0"/>
        <v>38439.958376690949</v>
      </c>
    </row>
    <row r="63" spans="1:12" ht="23.25" customHeight="1">
      <c r="A63" s="729" t="s">
        <v>3</v>
      </c>
      <c r="B63" s="729"/>
      <c r="C63" s="729"/>
      <c r="D63" s="729"/>
      <c r="E63" s="729"/>
      <c r="F63" s="729"/>
      <c r="G63" s="729"/>
      <c r="H63" s="53"/>
      <c r="I63" s="48">
        <f t="shared" si="1"/>
        <v>0</v>
      </c>
      <c r="J63" s="3">
        <f t="shared" si="0"/>
        <v>0</v>
      </c>
    </row>
    <row r="64" spans="1:12" ht="20.25" customHeight="1">
      <c r="A64" s="691" t="s">
        <v>83</v>
      </c>
      <c r="B64" s="692"/>
      <c r="C64" s="692"/>
      <c r="D64" s="692"/>
      <c r="E64" s="692"/>
      <c r="F64" s="692"/>
      <c r="G64" s="693"/>
      <c r="H64" s="52"/>
      <c r="I64" s="48">
        <f t="shared" si="1"/>
        <v>0</v>
      </c>
      <c r="J64" s="3">
        <f t="shared" si="0"/>
        <v>0</v>
      </c>
    </row>
    <row r="65" spans="1:10" ht="31.5" customHeight="1">
      <c r="A65" s="694" t="s">
        <v>74</v>
      </c>
      <c r="B65" s="695"/>
      <c r="C65" s="99" t="s">
        <v>204</v>
      </c>
      <c r="D65" s="100" t="s">
        <v>1</v>
      </c>
      <c r="E65" s="104">
        <f>F65/0.8</f>
        <v>14030</v>
      </c>
      <c r="F65" s="24">
        <v>11224</v>
      </c>
      <c r="G65" s="103" t="s">
        <v>288</v>
      </c>
      <c r="H65" s="24">
        <v>13302</v>
      </c>
      <c r="I65" s="48">
        <f t="shared" si="1"/>
        <v>71.516129032258064</v>
      </c>
      <c r="J65" s="3">
        <f t="shared" si="0"/>
        <v>18308.129032258064</v>
      </c>
    </row>
    <row r="66" spans="1:10" ht="26.25" customHeight="1">
      <c r="A66" s="694" t="s">
        <v>75</v>
      </c>
      <c r="B66" s="695"/>
      <c r="C66" s="99" t="s">
        <v>205</v>
      </c>
      <c r="D66" s="100" t="s">
        <v>1</v>
      </c>
      <c r="E66" s="104">
        <f>F66/0.8</f>
        <v>25053.75</v>
      </c>
      <c r="F66" s="24">
        <v>20043</v>
      </c>
      <c r="G66" s="103" t="s">
        <v>288</v>
      </c>
      <c r="H66" s="24">
        <v>18593</v>
      </c>
      <c r="I66" s="48">
        <f t="shared" si="1"/>
        <v>99.962365591397855</v>
      </c>
      <c r="J66" s="3">
        <f t="shared" si="0"/>
        <v>25590.365591397851</v>
      </c>
    </row>
    <row r="67" spans="1:10" ht="26.25" customHeight="1">
      <c r="A67" s="691" t="s">
        <v>264</v>
      </c>
      <c r="B67" s="692"/>
      <c r="C67" s="692"/>
      <c r="D67" s="692"/>
      <c r="E67" s="692"/>
      <c r="F67" s="692"/>
      <c r="G67" s="692"/>
      <c r="H67" s="82"/>
      <c r="I67" s="83"/>
    </row>
    <row r="68" spans="1:10" ht="26.25" customHeight="1">
      <c r="A68" s="698" t="s">
        <v>266</v>
      </c>
      <c r="B68" s="698"/>
      <c r="C68" s="85" t="s">
        <v>270</v>
      </c>
      <c r="D68" s="16" t="s">
        <v>1</v>
      </c>
      <c r="E68" s="56">
        <f>F68/0.8</f>
        <v>12221.749999999998</v>
      </c>
      <c r="F68" s="92">
        <f>31.54*G2</f>
        <v>9777.4</v>
      </c>
      <c r="G68" s="79"/>
      <c r="H68" s="84"/>
      <c r="I68" s="84"/>
    </row>
    <row r="69" spans="1:10" ht="28.5" customHeight="1">
      <c r="A69" s="698" t="s">
        <v>265</v>
      </c>
      <c r="B69" s="698"/>
      <c r="C69" s="85" t="s">
        <v>267</v>
      </c>
      <c r="D69" s="16" t="s">
        <v>1</v>
      </c>
      <c r="E69" s="56">
        <f>F69/0.8</f>
        <v>13264.512500000001</v>
      </c>
      <c r="F69" s="77">
        <f>34.231*G2</f>
        <v>10611.61</v>
      </c>
      <c r="G69" s="45"/>
      <c r="H69" s="81"/>
      <c r="I69" s="48"/>
    </row>
    <row r="70" spans="1:10" ht="22.5" customHeight="1">
      <c r="A70" s="691" t="s">
        <v>179</v>
      </c>
      <c r="B70" s="692"/>
      <c r="C70" s="692"/>
      <c r="D70" s="692"/>
      <c r="E70" s="692"/>
      <c r="F70" s="692"/>
      <c r="G70" s="693"/>
      <c r="H70" s="52"/>
      <c r="I70" s="48">
        <f t="shared" si="1"/>
        <v>0</v>
      </c>
      <c r="J70" s="3">
        <f t="shared" si="0"/>
        <v>0</v>
      </c>
    </row>
    <row r="71" spans="1:10" ht="23.25" customHeight="1">
      <c r="A71" s="701" t="s">
        <v>180</v>
      </c>
      <c r="B71" s="702"/>
      <c r="C71" s="64" t="s">
        <v>181</v>
      </c>
      <c r="D71" s="45" t="s">
        <v>1</v>
      </c>
      <c r="E71" s="57">
        <f>F71/0.8</f>
        <v>13314.5</v>
      </c>
      <c r="F71" s="57">
        <f>34.36*G2</f>
        <v>10651.6</v>
      </c>
      <c r="G71" s="46"/>
      <c r="H71" s="54"/>
      <c r="I71" s="48">
        <f t="shared" si="1"/>
        <v>0</v>
      </c>
      <c r="J71" s="3">
        <f t="shared" si="0"/>
        <v>0</v>
      </c>
    </row>
    <row r="72" spans="1:10" ht="28.5" customHeight="1">
      <c r="A72" s="691" t="s">
        <v>224</v>
      </c>
      <c r="B72" s="692"/>
      <c r="C72" s="692"/>
      <c r="D72" s="692"/>
      <c r="E72" s="692"/>
      <c r="F72" s="692"/>
      <c r="G72" s="693"/>
      <c r="H72" s="54"/>
      <c r="I72" s="48"/>
    </row>
    <row r="73" spans="1:10" ht="28.5" customHeight="1">
      <c r="A73" s="698" t="s">
        <v>258</v>
      </c>
      <c r="B73" s="698"/>
      <c r="C73" s="64" t="s">
        <v>259</v>
      </c>
      <c r="D73" s="45" t="s">
        <v>1</v>
      </c>
      <c r="E73" s="57">
        <f>F73/0.8</f>
        <v>4123</v>
      </c>
      <c r="F73" s="57">
        <f>10.64*G2</f>
        <v>3298.4</v>
      </c>
      <c r="G73" s="71"/>
      <c r="H73" s="54"/>
      <c r="I73" s="48"/>
    </row>
    <row r="74" spans="1:10" ht="23.25" customHeight="1">
      <c r="A74" s="698" t="s">
        <v>225</v>
      </c>
      <c r="B74" s="698"/>
      <c r="C74" s="64" t="s">
        <v>226</v>
      </c>
      <c r="D74" s="45" t="s">
        <v>1</v>
      </c>
      <c r="E74" s="57">
        <f>F74/0.8</f>
        <v>6184.5</v>
      </c>
      <c r="F74" s="57">
        <f>15.96*G2</f>
        <v>4947.6000000000004</v>
      </c>
      <c r="G74" s="46"/>
      <c r="H74" s="54"/>
      <c r="I74" s="48"/>
    </row>
    <row r="75" spans="1:10" ht="25.5" customHeight="1">
      <c r="A75" s="691" t="s">
        <v>80</v>
      </c>
      <c r="B75" s="692"/>
      <c r="C75" s="692"/>
      <c r="D75" s="692"/>
      <c r="E75" s="692"/>
      <c r="F75" s="692"/>
      <c r="G75" s="693"/>
      <c r="H75" s="52"/>
      <c r="I75" s="48">
        <f t="shared" si="1"/>
        <v>0</v>
      </c>
      <c r="J75" s="3">
        <f t="shared" si="0"/>
        <v>0</v>
      </c>
    </row>
    <row r="76" spans="1:10" ht="38.25" customHeight="1">
      <c r="A76" s="701" t="s">
        <v>7</v>
      </c>
      <c r="B76" s="700"/>
      <c r="C76" s="73" t="s">
        <v>202</v>
      </c>
      <c r="D76" s="16" t="s">
        <v>1</v>
      </c>
      <c r="E76" s="74">
        <f t="shared" ref="E76:E81" si="5">F76/0.8</f>
        <v>8331.25</v>
      </c>
      <c r="F76" s="75">
        <f>21.5*G2</f>
        <v>6665</v>
      </c>
      <c r="G76" s="45"/>
      <c r="H76" s="24">
        <v>3990</v>
      </c>
      <c r="I76" s="48">
        <f t="shared" si="1"/>
        <v>21.451612903225808</v>
      </c>
      <c r="J76" s="3">
        <f t="shared" si="0"/>
        <v>5491.6129032258068</v>
      </c>
    </row>
    <row r="77" spans="1:10" ht="29.25" customHeight="1">
      <c r="A77" s="699" t="s">
        <v>233</v>
      </c>
      <c r="B77" s="700"/>
      <c r="C77" s="73" t="s">
        <v>203</v>
      </c>
      <c r="D77" s="16" t="s">
        <v>1</v>
      </c>
      <c r="E77" s="76">
        <f t="shared" si="5"/>
        <v>15829.375</v>
      </c>
      <c r="F77" s="77">
        <f>40.85*G2</f>
        <v>12663.5</v>
      </c>
      <c r="G77" s="45"/>
      <c r="H77" s="24"/>
      <c r="I77" s="48"/>
    </row>
    <row r="78" spans="1:10" ht="29.25" customHeight="1">
      <c r="A78" s="699" t="s">
        <v>234</v>
      </c>
      <c r="B78" s="700"/>
      <c r="C78" s="73" t="s">
        <v>203</v>
      </c>
      <c r="D78" s="16" t="s">
        <v>1</v>
      </c>
      <c r="E78" s="76">
        <f t="shared" si="5"/>
        <v>15500</v>
      </c>
      <c r="F78" s="77">
        <f>40*G2</f>
        <v>12400</v>
      </c>
      <c r="G78" s="45"/>
      <c r="H78" s="24"/>
      <c r="I78" s="48"/>
    </row>
    <row r="79" spans="1:10" ht="29.25" customHeight="1">
      <c r="A79" s="699" t="s">
        <v>235</v>
      </c>
      <c r="B79" s="700"/>
      <c r="C79" s="73" t="s">
        <v>221</v>
      </c>
      <c r="D79" s="16" t="s">
        <v>1</v>
      </c>
      <c r="E79" s="76">
        <f t="shared" si="5"/>
        <v>17972.25</v>
      </c>
      <c r="F79" s="77">
        <f>46.38*G2</f>
        <v>14377.800000000001</v>
      </c>
      <c r="G79" s="45"/>
      <c r="H79" s="24"/>
      <c r="I79" s="48"/>
    </row>
    <row r="80" spans="1:10" ht="29.25" customHeight="1">
      <c r="A80" s="701" t="s">
        <v>222</v>
      </c>
      <c r="B80" s="702"/>
      <c r="C80" s="73" t="s">
        <v>249</v>
      </c>
      <c r="D80" s="16" t="s">
        <v>1</v>
      </c>
      <c r="E80" s="76">
        <f t="shared" si="5"/>
        <v>3875</v>
      </c>
      <c r="F80" s="77">
        <f>10*G2</f>
        <v>3100</v>
      </c>
      <c r="G80" s="97"/>
      <c r="H80" s="24"/>
      <c r="I80" s="48"/>
    </row>
    <row r="81" spans="1:10" ht="30.75" customHeight="1">
      <c r="A81" s="701" t="s">
        <v>223</v>
      </c>
      <c r="B81" s="702"/>
      <c r="C81" s="73" t="s">
        <v>248</v>
      </c>
      <c r="D81" s="16" t="s">
        <v>1</v>
      </c>
      <c r="E81" s="76">
        <f t="shared" si="5"/>
        <v>3273.9874999999997</v>
      </c>
      <c r="F81" s="77">
        <f>8.449*G2</f>
        <v>2619.19</v>
      </c>
      <c r="G81" s="97"/>
      <c r="H81" s="24">
        <v>3800</v>
      </c>
      <c r="I81" s="48">
        <f t="shared" si="1"/>
        <v>20.43010752688172</v>
      </c>
      <c r="J81" s="3">
        <f t="shared" si="0"/>
        <v>5230.1075268817203</v>
      </c>
    </row>
    <row r="82" spans="1:10" ht="25.5" customHeight="1">
      <c r="A82" s="691" t="s">
        <v>78</v>
      </c>
      <c r="B82" s="692"/>
      <c r="C82" s="692"/>
      <c r="D82" s="692"/>
      <c r="E82" s="692"/>
      <c r="F82" s="692"/>
      <c r="G82" s="693"/>
      <c r="H82" s="52"/>
      <c r="I82" s="48">
        <f t="shared" si="1"/>
        <v>0</v>
      </c>
      <c r="J82" s="3">
        <f t="shared" si="0"/>
        <v>0</v>
      </c>
    </row>
    <row r="83" spans="1:10" ht="28.5" customHeight="1">
      <c r="A83" s="701" t="s">
        <v>201</v>
      </c>
      <c r="B83" s="702"/>
      <c r="C83" s="65" t="s">
        <v>220</v>
      </c>
      <c r="D83" s="45" t="s">
        <v>1</v>
      </c>
      <c r="E83" s="57">
        <f t="shared" ref="E83:E88" si="6">F83/0.8</f>
        <v>17270.875</v>
      </c>
      <c r="F83" s="57">
        <f>44.57*G2</f>
        <v>13816.7</v>
      </c>
      <c r="G83" s="46"/>
      <c r="H83" s="52"/>
      <c r="I83" s="48"/>
    </row>
    <row r="84" spans="1:10" ht="28.5" customHeight="1">
      <c r="A84" s="688" t="s">
        <v>219</v>
      </c>
      <c r="B84" s="689"/>
      <c r="C84" s="66" t="s">
        <v>90</v>
      </c>
      <c r="D84" s="20" t="s">
        <v>1</v>
      </c>
      <c r="E84" s="68">
        <f t="shared" si="6"/>
        <v>13686.5</v>
      </c>
      <c r="F84" s="69">
        <f>35.32*G2</f>
        <v>10949.2</v>
      </c>
      <c r="G84" s="16"/>
      <c r="H84" s="23">
        <v>6990</v>
      </c>
      <c r="I84" s="48">
        <f t="shared" si="1"/>
        <v>37.58064516129032</v>
      </c>
      <c r="J84" s="3">
        <f t="shared" si="0"/>
        <v>9620.645161290322</v>
      </c>
    </row>
    <row r="85" spans="1:10" ht="28.5" customHeight="1">
      <c r="A85" s="688" t="s">
        <v>182</v>
      </c>
      <c r="B85" s="689"/>
      <c r="C85" s="66" t="s">
        <v>89</v>
      </c>
      <c r="D85" s="20" t="s">
        <v>1</v>
      </c>
      <c r="E85" s="68">
        <f t="shared" si="6"/>
        <v>15647.25</v>
      </c>
      <c r="F85" s="69">
        <f>40.38*G2</f>
        <v>12517.800000000001</v>
      </c>
      <c r="G85" s="16"/>
      <c r="H85" s="23">
        <v>7990</v>
      </c>
      <c r="I85" s="48">
        <f t="shared" si="1"/>
        <v>42.956989247311824</v>
      </c>
      <c r="J85" s="3">
        <f t="shared" si="0"/>
        <v>10996.989247311827</v>
      </c>
    </row>
    <row r="86" spans="1:10" ht="28.5" customHeight="1">
      <c r="A86" s="688" t="s">
        <v>175</v>
      </c>
      <c r="B86" s="689"/>
      <c r="C86" s="66" t="s">
        <v>90</v>
      </c>
      <c r="D86" s="20" t="s">
        <v>1</v>
      </c>
      <c r="E86" s="68">
        <f t="shared" si="6"/>
        <v>13000.625</v>
      </c>
      <c r="F86" s="69">
        <f>33.55*G2</f>
        <v>10400.5</v>
      </c>
      <c r="G86" s="16"/>
      <c r="H86" s="47"/>
      <c r="I86" s="48">
        <f t="shared" si="1"/>
        <v>0</v>
      </c>
      <c r="J86" s="3">
        <f t="shared" si="0"/>
        <v>0</v>
      </c>
    </row>
    <row r="87" spans="1:10" ht="28.5" customHeight="1">
      <c r="A87" s="688" t="s">
        <v>176</v>
      </c>
      <c r="B87" s="689"/>
      <c r="C87" s="66" t="s">
        <v>89</v>
      </c>
      <c r="D87" s="20" t="s">
        <v>1</v>
      </c>
      <c r="E87" s="68">
        <f t="shared" si="6"/>
        <v>14860.625</v>
      </c>
      <c r="F87" s="69">
        <f>38.35*G2</f>
        <v>11888.5</v>
      </c>
      <c r="G87" s="16"/>
      <c r="H87" s="47"/>
      <c r="I87" s="48">
        <f t="shared" si="1"/>
        <v>0</v>
      </c>
      <c r="J87" s="3">
        <f t="shared" si="0"/>
        <v>0</v>
      </c>
    </row>
    <row r="88" spans="1:10" ht="28.5" customHeight="1">
      <c r="A88" s="688" t="s">
        <v>177</v>
      </c>
      <c r="B88" s="689"/>
      <c r="C88" s="66" t="s">
        <v>178</v>
      </c>
      <c r="D88" s="20" t="s">
        <v>1</v>
      </c>
      <c r="E88" s="68">
        <f t="shared" si="6"/>
        <v>17604.124999999996</v>
      </c>
      <c r="F88" s="69">
        <f>45.43*G2</f>
        <v>14083.3</v>
      </c>
      <c r="G88" s="16"/>
      <c r="H88" s="47"/>
      <c r="I88" s="48">
        <f t="shared" si="1"/>
        <v>0</v>
      </c>
      <c r="J88" s="3">
        <f t="shared" si="0"/>
        <v>0</v>
      </c>
    </row>
    <row r="89" spans="1:10" ht="27" customHeight="1">
      <c r="A89" s="691" t="s">
        <v>91</v>
      </c>
      <c r="B89" s="696"/>
      <c r="C89" s="696"/>
      <c r="D89" s="696"/>
      <c r="E89" s="696"/>
      <c r="F89" s="696"/>
      <c r="G89" s="697"/>
      <c r="H89" s="55"/>
      <c r="I89" s="48">
        <f t="shared" si="1"/>
        <v>0</v>
      </c>
      <c r="J89" s="3">
        <f t="shared" si="0"/>
        <v>0</v>
      </c>
    </row>
    <row r="90" spans="1:10" ht="30" customHeight="1">
      <c r="A90" s="688" t="s">
        <v>8</v>
      </c>
      <c r="B90" s="689"/>
      <c r="C90" s="22" t="s">
        <v>210</v>
      </c>
      <c r="D90" s="2" t="s">
        <v>1</v>
      </c>
      <c r="E90" s="70">
        <f>F90/0.8</f>
        <v>47801.999999999993</v>
      </c>
      <c r="F90" s="67">
        <f>123.36*G2</f>
        <v>38241.599999999999</v>
      </c>
      <c r="G90" s="29"/>
      <c r="H90" s="23">
        <v>21645</v>
      </c>
      <c r="I90" s="48">
        <f t="shared" si="1"/>
        <v>116.37096774193549</v>
      </c>
      <c r="J90" s="3">
        <f t="shared" si="0"/>
        <v>29790.967741935485</v>
      </c>
    </row>
    <row r="91" spans="1:10" ht="25.5" customHeight="1">
      <c r="A91" s="691" t="s">
        <v>79</v>
      </c>
      <c r="B91" s="692"/>
      <c r="C91" s="692"/>
      <c r="D91" s="692"/>
      <c r="E91" s="692"/>
      <c r="F91" s="692"/>
      <c r="G91" s="693"/>
      <c r="H91" s="52"/>
      <c r="I91" s="48">
        <f t="shared" si="1"/>
        <v>0</v>
      </c>
      <c r="J91" s="3">
        <f t="shared" si="0"/>
        <v>0</v>
      </c>
    </row>
    <row r="92" spans="1:10" ht="21" customHeight="1">
      <c r="A92" s="688" t="s">
        <v>99</v>
      </c>
      <c r="B92" s="689"/>
      <c r="C92" s="22" t="s">
        <v>211</v>
      </c>
      <c r="D92" s="4" t="s">
        <v>1</v>
      </c>
      <c r="E92" s="70">
        <f>F92/0.8</f>
        <v>41462.5</v>
      </c>
      <c r="F92" s="67">
        <f>107*G2</f>
        <v>33170</v>
      </c>
      <c r="G92" s="29"/>
      <c r="H92" s="23">
        <v>19900</v>
      </c>
      <c r="I92" s="48">
        <f t="shared" si="1"/>
        <v>106.98924731182795</v>
      </c>
      <c r="J92" s="3">
        <f t="shared" si="0"/>
        <v>27389.247311827956</v>
      </c>
    </row>
    <row r="93" spans="1:10" ht="21" customHeight="1">
      <c r="A93" s="688" t="s">
        <v>100</v>
      </c>
      <c r="B93" s="689"/>
      <c r="C93" s="22" t="s">
        <v>212</v>
      </c>
      <c r="D93" s="4" t="s">
        <v>1</v>
      </c>
      <c r="E93" s="70">
        <f t="shared" ref="E93:E98" si="7">F93/0.8</f>
        <v>49793.75</v>
      </c>
      <c r="F93" s="67">
        <f>128.5*G2</f>
        <v>39835</v>
      </c>
      <c r="G93" s="29"/>
      <c r="H93" s="23">
        <v>23900</v>
      </c>
      <c r="I93" s="48">
        <f t="shared" si="1"/>
        <v>128.49462365591398</v>
      </c>
      <c r="J93" s="3">
        <f t="shared" si="0"/>
        <v>32894.62365591398</v>
      </c>
    </row>
    <row r="94" spans="1:10" ht="21" customHeight="1">
      <c r="A94" s="688" t="s">
        <v>9</v>
      </c>
      <c r="B94" s="689"/>
      <c r="C94" s="22" t="s">
        <v>213</v>
      </c>
      <c r="D94" s="4" t="s">
        <v>1</v>
      </c>
      <c r="E94" s="70">
        <f t="shared" si="7"/>
        <v>61457.5</v>
      </c>
      <c r="F94" s="67">
        <f>158.6*G2</f>
        <v>49166</v>
      </c>
      <c r="G94" s="29"/>
      <c r="H94" s="23">
        <v>29500</v>
      </c>
      <c r="I94" s="48">
        <f t="shared" si="1"/>
        <v>158.6021505376344</v>
      </c>
      <c r="J94" s="3">
        <f t="shared" si="0"/>
        <v>40602.150537634407</v>
      </c>
    </row>
    <row r="95" spans="1:10" ht="21" customHeight="1">
      <c r="A95" s="688" t="s">
        <v>102</v>
      </c>
      <c r="B95" s="689"/>
      <c r="C95" s="22" t="s">
        <v>214</v>
      </c>
      <c r="D95" s="4" t="s">
        <v>1</v>
      </c>
      <c r="E95" s="70">
        <f t="shared" si="7"/>
        <v>74593.75</v>
      </c>
      <c r="F95" s="67">
        <f>192.5*G2</f>
        <v>59675</v>
      </c>
      <c r="G95" s="29"/>
      <c r="H95" s="23">
        <v>35800</v>
      </c>
      <c r="I95" s="48">
        <f t="shared" si="1"/>
        <v>192.47311827956989</v>
      </c>
      <c r="J95" s="3">
        <f t="shared" si="0"/>
        <v>49273.118279569891</v>
      </c>
    </row>
    <row r="96" spans="1:10" ht="21" customHeight="1">
      <c r="A96" s="688" t="s">
        <v>101</v>
      </c>
      <c r="B96" s="689"/>
      <c r="C96" s="22" t="s">
        <v>215</v>
      </c>
      <c r="D96" s="4" t="s">
        <v>1</v>
      </c>
      <c r="E96" s="70">
        <f t="shared" si="7"/>
        <v>89163.75</v>
      </c>
      <c r="F96" s="67">
        <f>230.1*G2</f>
        <v>71331</v>
      </c>
      <c r="G96" s="29"/>
      <c r="H96" s="23">
        <v>42800</v>
      </c>
      <c r="I96" s="48">
        <f t="shared" si="1"/>
        <v>230.10752688172042</v>
      </c>
      <c r="J96" s="3">
        <f t="shared" si="0"/>
        <v>58907.526881720427</v>
      </c>
    </row>
    <row r="97" spans="1:10" ht="21" customHeight="1">
      <c r="A97" s="688" t="s">
        <v>76</v>
      </c>
      <c r="B97" s="689"/>
      <c r="C97" s="22" t="s">
        <v>216</v>
      </c>
      <c r="D97" s="4" t="s">
        <v>1</v>
      </c>
      <c r="E97" s="70">
        <f t="shared" si="7"/>
        <v>114390</v>
      </c>
      <c r="F97" s="67">
        <f>295.2*G2</f>
        <v>91512</v>
      </c>
      <c r="G97" s="16"/>
      <c r="H97" s="23">
        <v>54900</v>
      </c>
      <c r="I97" s="48">
        <f t="shared" si="1"/>
        <v>295.16129032258067</v>
      </c>
      <c r="J97" s="3">
        <f>I97*256</f>
        <v>75561.290322580651</v>
      </c>
    </row>
    <row r="98" spans="1:10" ht="21" customHeight="1">
      <c r="A98" s="688" t="s">
        <v>77</v>
      </c>
      <c r="B98" s="689"/>
      <c r="C98" s="22" t="s">
        <v>217</v>
      </c>
      <c r="D98" s="4" t="s">
        <v>1</v>
      </c>
      <c r="E98" s="70">
        <f t="shared" si="7"/>
        <v>126867.5</v>
      </c>
      <c r="F98" s="67">
        <f>327.4*G2</f>
        <v>101494</v>
      </c>
      <c r="G98" s="16"/>
      <c r="H98" s="23">
        <v>60900</v>
      </c>
      <c r="I98" s="48">
        <f t="shared" si="1"/>
        <v>327.41935483870969</v>
      </c>
      <c r="J98" s="3">
        <f>I98*256</f>
        <v>83819.354838709682</v>
      </c>
    </row>
    <row r="99" spans="1:10" ht="18">
      <c r="A99" s="724" t="s">
        <v>103</v>
      </c>
      <c r="B99" s="725"/>
      <c r="C99" s="725"/>
      <c r="D99" s="725"/>
      <c r="E99" s="725"/>
      <c r="F99" s="725"/>
      <c r="G99" s="726"/>
      <c r="H99" s="52"/>
      <c r="I99" s="48">
        <f>H99/186</f>
        <v>0</v>
      </c>
      <c r="J99" s="3">
        <f>I99*256</f>
        <v>0</v>
      </c>
    </row>
    <row r="100" spans="1:10" ht="23.25" customHeight="1">
      <c r="A100" s="694" t="s">
        <v>250</v>
      </c>
      <c r="B100" s="711"/>
      <c r="C100" s="99" t="s">
        <v>290</v>
      </c>
      <c r="D100" s="100" t="s">
        <v>1</v>
      </c>
      <c r="E100" s="101">
        <f t="shared" ref="E100:E105" si="8">F100/0.8</f>
        <v>8718.75</v>
      </c>
      <c r="F100" s="102">
        <v>6975</v>
      </c>
      <c r="G100" s="103" t="s">
        <v>288</v>
      </c>
      <c r="H100" s="52"/>
      <c r="I100" s="48"/>
    </row>
    <row r="101" spans="1:10" ht="23.25" customHeight="1">
      <c r="A101" s="694" t="s">
        <v>255</v>
      </c>
      <c r="B101" s="711"/>
      <c r="C101" s="99" t="s">
        <v>218</v>
      </c>
      <c r="D101" s="100" t="s">
        <v>1</v>
      </c>
      <c r="E101" s="101">
        <f t="shared" si="8"/>
        <v>9821.25</v>
      </c>
      <c r="F101" s="102">
        <v>7857</v>
      </c>
      <c r="G101" s="103" t="s">
        <v>288</v>
      </c>
      <c r="H101" s="23">
        <v>7500</v>
      </c>
      <c r="I101" s="48">
        <f>H101/186</f>
        <v>40.322580645161288</v>
      </c>
      <c r="J101" s="3">
        <f>I101*256</f>
        <v>10322.58064516129</v>
      </c>
    </row>
    <row r="102" spans="1:10" ht="23.25" customHeight="1">
      <c r="A102" s="694" t="s">
        <v>251</v>
      </c>
      <c r="B102" s="711"/>
      <c r="C102" s="99" t="s">
        <v>256</v>
      </c>
      <c r="D102" s="100" t="s">
        <v>1</v>
      </c>
      <c r="E102" s="101">
        <f t="shared" si="8"/>
        <v>10822.5</v>
      </c>
      <c r="F102" s="102">
        <v>8658</v>
      </c>
      <c r="G102" s="103" t="s">
        <v>288</v>
      </c>
      <c r="H102" s="72"/>
      <c r="I102" s="48"/>
    </row>
    <row r="103" spans="1:10" ht="23.25" customHeight="1">
      <c r="A103" s="694" t="s">
        <v>252</v>
      </c>
      <c r="B103" s="711"/>
      <c r="C103" s="99" t="s">
        <v>262</v>
      </c>
      <c r="D103" s="100" t="s">
        <v>1</v>
      </c>
      <c r="E103" s="101">
        <f t="shared" si="8"/>
        <v>10923.75</v>
      </c>
      <c r="F103" s="102">
        <v>8739</v>
      </c>
      <c r="G103" s="103" t="s">
        <v>288</v>
      </c>
      <c r="H103" s="72"/>
      <c r="I103" s="48"/>
    </row>
    <row r="104" spans="1:10" ht="23.25" customHeight="1">
      <c r="A104" s="694" t="s">
        <v>253</v>
      </c>
      <c r="B104" s="711"/>
      <c r="C104" s="99" t="s">
        <v>257</v>
      </c>
      <c r="D104" s="100" t="s">
        <v>1</v>
      </c>
      <c r="E104" s="101">
        <f t="shared" si="8"/>
        <v>11975</v>
      </c>
      <c r="F104" s="102">
        <v>9580</v>
      </c>
      <c r="G104" s="103" t="s">
        <v>288</v>
      </c>
      <c r="H104" s="72"/>
      <c r="I104" s="48"/>
    </row>
    <row r="105" spans="1:10" ht="23.25" customHeight="1">
      <c r="A105" s="694" t="s">
        <v>254</v>
      </c>
      <c r="B105" s="711"/>
      <c r="C105" s="99" t="s">
        <v>263</v>
      </c>
      <c r="D105" s="100" t="s">
        <v>1</v>
      </c>
      <c r="E105" s="101">
        <f t="shared" si="8"/>
        <v>13628.75</v>
      </c>
      <c r="F105" s="102">
        <v>10903</v>
      </c>
      <c r="G105" s="103" t="s">
        <v>288</v>
      </c>
      <c r="H105" s="72"/>
      <c r="I105" s="48"/>
    </row>
  </sheetData>
  <mergeCells count="107">
    <mergeCell ref="A99:G99"/>
    <mergeCell ref="A101:B101"/>
    <mergeCell ref="A52:B52"/>
    <mergeCell ref="A93:B93"/>
    <mergeCell ref="A83:B83"/>
    <mergeCell ref="A42:G42"/>
    <mergeCell ref="G43:G44"/>
    <mergeCell ref="A67:G67"/>
    <mergeCell ref="A68:B68"/>
    <mergeCell ref="A69:B69"/>
    <mergeCell ref="A63:G63"/>
    <mergeCell ref="A76:B76"/>
    <mergeCell ref="A43:B43"/>
    <mergeCell ref="A44:B44"/>
    <mergeCell ref="C50:C51"/>
    <mergeCell ref="A48:B48"/>
    <mergeCell ref="A49:B49"/>
    <mergeCell ref="C47:C48"/>
    <mergeCell ref="A50:B50"/>
    <mergeCell ref="A51:B51"/>
    <mergeCell ref="A45:B45"/>
    <mergeCell ref="A60:B60"/>
    <mergeCell ref="A54:B54"/>
    <mergeCell ref="A62:B62"/>
    <mergeCell ref="A78:B78"/>
    <mergeCell ref="A81:B81"/>
    <mergeCell ref="A61:B61"/>
    <mergeCell ref="A17:B17"/>
    <mergeCell ref="A105:B105"/>
    <mergeCell ref="A32:B32"/>
    <mergeCell ref="A33:B33"/>
    <mergeCell ref="A37:B37"/>
    <mergeCell ref="A70:G70"/>
    <mergeCell ref="A71:B71"/>
    <mergeCell ref="A55:G55"/>
    <mergeCell ref="A56:G56"/>
    <mergeCell ref="A40:G40"/>
    <mergeCell ref="A41:B41"/>
    <mergeCell ref="C43:C44"/>
    <mergeCell ref="A73:B73"/>
    <mergeCell ref="A100:B100"/>
    <mergeCell ref="A102:B102"/>
    <mergeCell ref="A103:B103"/>
    <mergeCell ref="A79:B79"/>
    <mergeCell ref="A38:B38"/>
    <mergeCell ref="A35:B35"/>
    <mergeCell ref="A34:B34"/>
    <mergeCell ref="A104:B104"/>
    <mergeCell ref="A26:B26"/>
    <mergeCell ref="A21:B21"/>
    <mergeCell ref="A22:B22"/>
    <mergeCell ref="A58:B58"/>
    <mergeCell ref="A46:B46"/>
    <mergeCell ref="A47:B47"/>
    <mergeCell ref="A57:B57"/>
    <mergeCell ref="A59:B59"/>
    <mergeCell ref="A53:B53"/>
    <mergeCell ref="A36:B36"/>
    <mergeCell ref="A39:B39"/>
    <mergeCell ref="A87:B87"/>
    <mergeCell ref="A80:B80"/>
    <mergeCell ref="A1:F1"/>
    <mergeCell ref="D4:F4"/>
    <mergeCell ref="A5:B5"/>
    <mergeCell ref="A16:G16"/>
    <mergeCell ref="A6:J6"/>
    <mergeCell ref="A7:B7"/>
    <mergeCell ref="A9:G9"/>
    <mergeCell ref="A10:B10"/>
    <mergeCell ref="A11:G11"/>
    <mergeCell ref="A12:B12"/>
    <mergeCell ref="A13:B13"/>
    <mergeCell ref="A14:B14"/>
    <mergeCell ref="A15:B15"/>
    <mergeCell ref="A8:B8"/>
    <mergeCell ref="A85:B85"/>
    <mergeCell ref="A19:B19"/>
    <mergeCell ref="A20:B20"/>
    <mergeCell ref="A23:B23"/>
    <mergeCell ref="A29:B29"/>
    <mergeCell ref="A27:B27"/>
    <mergeCell ref="A24:B24"/>
    <mergeCell ref="A25:B25"/>
    <mergeCell ref="A96:B96"/>
    <mergeCell ref="A88:B88"/>
    <mergeCell ref="A18:B18"/>
    <mergeCell ref="A30:B30"/>
    <mergeCell ref="A31:B31"/>
    <mergeCell ref="A28:B28"/>
    <mergeCell ref="A98:B98"/>
    <mergeCell ref="A64:G64"/>
    <mergeCell ref="A66:B66"/>
    <mergeCell ref="A97:B97"/>
    <mergeCell ref="A94:B94"/>
    <mergeCell ref="A91:G91"/>
    <mergeCell ref="A65:B65"/>
    <mergeCell ref="A90:B90"/>
    <mergeCell ref="A84:B84"/>
    <mergeCell ref="A82:G82"/>
    <mergeCell ref="A89:G89"/>
    <mergeCell ref="A75:G75"/>
    <mergeCell ref="A95:B95"/>
    <mergeCell ref="A92:B92"/>
    <mergeCell ref="A72:G72"/>
    <mergeCell ref="A74:B74"/>
    <mergeCell ref="A77:B77"/>
    <mergeCell ref="A86:B86"/>
  </mergeCells>
  <hyperlinks>
    <hyperlink ref="B4" r:id="rId1" display="www.almacom.info  E-mail:almacom@inbox,ru"/>
  </hyperlinks>
  <pageMargins left="0.59055118110236227" right="0.43307086614173229" top="0.39370078740157483" bottom="0.11811023622047245" header="0.19685039370078741" footer="0.15748031496062992"/>
  <pageSetup paperSize="9" scale="56" orientation="portrait" horizontalDpi="300" verticalDpi="1200" r:id="rId2"/>
  <rowBreaks count="2" manualBreakCount="2">
    <brk id="28" max="6" man="1"/>
    <brk id="54" max="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5"/>
  <sheetViews>
    <sheetView view="pageBreakPreview" zoomScaleSheetLayoutView="100" zoomScalePageLayoutView="90" workbookViewId="0">
      <selection activeCell="A54" sqref="A54:B54"/>
    </sheetView>
  </sheetViews>
  <sheetFormatPr defaultColWidth="9.28515625" defaultRowHeight="12.75"/>
  <cols>
    <col min="1" max="1" width="3.5703125" style="3" customWidth="1"/>
    <col min="2" max="2" width="30.5703125" style="3" customWidth="1"/>
    <col min="3" max="3" width="59.28515625" style="3" customWidth="1"/>
    <col min="4" max="4" width="12.28515625" style="9" customWidth="1"/>
    <col min="5" max="5" width="15.42578125" style="3" customWidth="1"/>
    <col min="6" max="6" width="21.7109375" style="3" customWidth="1"/>
    <col min="7" max="7" width="13.5703125" style="32" customWidth="1"/>
    <col min="8" max="8" width="13.5703125" style="32" hidden="1" customWidth="1"/>
    <col min="9" max="9" width="15" style="3" hidden="1" customWidth="1"/>
    <col min="10" max="10" width="9.28515625" style="3" hidden="1" customWidth="1"/>
    <col min="11" max="11" width="10" style="3" customWidth="1"/>
    <col min="12" max="16384" width="9.28515625" style="3"/>
  </cols>
  <sheetData>
    <row r="1" spans="1:10" ht="42" customHeight="1">
      <c r="A1" s="703" t="s">
        <v>6</v>
      </c>
      <c r="B1" s="703"/>
      <c r="C1" s="703"/>
      <c r="D1" s="703"/>
      <c r="E1" s="703"/>
      <c r="F1" s="703"/>
      <c r="G1" s="78">
        <v>42409</v>
      </c>
      <c r="H1" s="30"/>
      <c r="I1" s="12"/>
      <c r="J1" s="12"/>
    </row>
    <row r="2" spans="1:10" ht="15.75">
      <c r="B2" s="14"/>
      <c r="C2" s="14" t="s">
        <v>11</v>
      </c>
      <c r="D2" s="10"/>
      <c r="E2" s="14"/>
      <c r="F2" s="14"/>
      <c r="G2" s="95">
        <v>360</v>
      </c>
      <c r="H2" s="28"/>
      <c r="I2" s="14"/>
      <c r="J2" s="14"/>
    </row>
    <row r="3" spans="1:10" ht="15.75">
      <c r="B3" s="13"/>
      <c r="C3" s="13" t="s">
        <v>140</v>
      </c>
      <c r="D3" s="10"/>
      <c r="E3" s="13"/>
      <c r="F3" s="13"/>
      <c r="G3" s="28"/>
      <c r="H3" s="28"/>
      <c r="I3" s="13"/>
      <c r="J3" s="13"/>
    </row>
    <row r="4" spans="1:10" ht="18.75">
      <c r="B4" s="8" t="s">
        <v>116</v>
      </c>
      <c r="C4" s="7"/>
      <c r="D4" s="704" t="s">
        <v>81</v>
      </c>
      <c r="E4" s="704"/>
      <c r="F4" s="704"/>
      <c r="G4" s="31"/>
      <c r="H4" s="31"/>
      <c r="I4" s="6"/>
      <c r="J4" s="5"/>
    </row>
    <row r="5" spans="1:10" ht="27" customHeight="1">
      <c r="A5" s="705" t="s">
        <v>2</v>
      </c>
      <c r="B5" s="705"/>
      <c r="C5" s="105" t="s">
        <v>0</v>
      </c>
      <c r="D5" s="105" t="s">
        <v>5</v>
      </c>
      <c r="E5" s="105" t="s">
        <v>42</v>
      </c>
      <c r="F5" s="105" t="s">
        <v>43</v>
      </c>
      <c r="G5" s="27" t="s">
        <v>167</v>
      </c>
      <c r="H5" s="51"/>
    </row>
    <row r="6" spans="1:10" ht="31.5" customHeight="1">
      <c r="A6" s="691" t="s">
        <v>84</v>
      </c>
      <c r="B6" s="692"/>
      <c r="C6" s="692"/>
      <c r="D6" s="692"/>
      <c r="E6" s="692"/>
      <c r="F6" s="692"/>
      <c r="G6" s="692"/>
      <c r="H6" s="692"/>
      <c r="I6" s="692"/>
      <c r="J6" s="693"/>
    </row>
    <row r="7" spans="1:10" ht="93" customHeight="1">
      <c r="A7" s="706" t="s">
        <v>268</v>
      </c>
      <c r="B7" s="707"/>
      <c r="C7" s="86" t="s">
        <v>272</v>
      </c>
      <c r="D7" s="87" t="s">
        <v>1</v>
      </c>
      <c r="E7" s="88">
        <f>F7/0.8</f>
        <v>9571.5</v>
      </c>
      <c r="F7" s="94">
        <f>21.27*G2</f>
        <v>7657.2</v>
      </c>
      <c r="G7" s="110"/>
      <c r="H7" s="23">
        <v>4600</v>
      </c>
      <c r="I7" s="48">
        <f>H7/186</f>
        <v>24.731182795698924</v>
      </c>
      <c r="J7" s="3">
        <f>I7*256</f>
        <v>6331.1827956989246</v>
      </c>
    </row>
    <row r="8" spans="1:10" ht="93" customHeight="1">
      <c r="A8" s="706" t="s">
        <v>269</v>
      </c>
      <c r="B8" s="707"/>
      <c r="C8" s="86" t="s">
        <v>273</v>
      </c>
      <c r="D8" s="87" t="s">
        <v>1</v>
      </c>
      <c r="E8" s="21">
        <f>F8/0.8</f>
        <v>17585.999999999996</v>
      </c>
      <c r="F8" s="94">
        <f>39.08*G2</f>
        <v>14068.8</v>
      </c>
      <c r="G8" s="16"/>
      <c r="H8" s="72"/>
      <c r="I8" s="48"/>
    </row>
    <row r="9" spans="1:10" ht="27.75" customHeight="1">
      <c r="A9" s="691" t="s">
        <v>155</v>
      </c>
      <c r="B9" s="692"/>
      <c r="C9" s="692"/>
      <c r="D9" s="692"/>
      <c r="E9" s="692"/>
      <c r="F9" s="692"/>
      <c r="G9" s="693"/>
      <c r="H9" s="52"/>
      <c r="I9" s="48"/>
      <c r="J9" s="3">
        <f t="shared" ref="J9:J96" si="0">I9*256</f>
        <v>0</v>
      </c>
    </row>
    <row r="10" spans="1:10" ht="96" customHeight="1">
      <c r="A10" s="708" t="s">
        <v>157</v>
      </c>
      <c r="B10" s="709"/>
      <c r="C10" s="1" t="s">
        <v>162</v>
      </c>
      <c r="D10" s="20" t="s">
        <v>1</v>
      </c>
      <c r="E10" s="21">
        <f>F10/0.8</f>
        <v>58126.499999999993</v>
      </c>
      <c r="F10" s="23">
        <f>129.17*G2</f>
        <v>46501.2</v>
      </c>
      <c r="G10" s="16"/>
      <c r="H10" s="23">
        <v>27900</v>
      </c>
      <c r="I10" s="48">
        <f>H10/186</f>
        <v>150</v>
      </c>
      <c r="J10" s="3">
        <f>I10*256</f>
        <v>38400</v>
      </c>
    </row>
    <row r="11" spans="1:10" ht="27.75" customHeight="1">
      <c r="A11" s="691" t="s">
        <v>156</v>
      </c>
      <c r="B11" s="692"/>
      <c r="C11" s="692"/>
      <c r="D11" s="692"/>
      <c r="E11" s="692"/>
      <c r="F11" s="692"/>
      <c r="G11" s="693"/>
      <c r="H11" s="52"/>
      <c r="I11" s="48">
        <f t="shared" ref="I11:I98" si="1">H11/186</f>
        <v>0</v>
      </c>
      <c r="J11" s="3">
        <f t="shared" si="0"/>
        <v>0</v>
      </c>
    </row>
    <row r="12" spans="1:10" ht="84">
      <c r="A12" s="688" t="s">
        <v>158</v>
      </c>
      <c r="B12" s="690"/>
      <c r="C12" s="1" t="s">
        <v>163</v>
      </c>
      <c r="D12" s="20" t="s">
        <v>1</v>
      </c>
      <c r="E12" s="21">
        <f>F12/0.8</f>
        <v>80212.5</v>
      </c>
      <c r="F12" s="23">
        <f>178.25*G2</f>
        <v>64170</v>
      </c>
      <c r="G12" s="100"/>
      <c r="H12" s="23">
        <v>38500</v>
      </c>
      <c r="I12" s="48">
        <f>H12/186</f>
        <v>206.98924731182797</v>
      </c>
      <c r="J12" s="3">
        <f t="shared" si="0"/>
        <v>52989.247311827959</v>
      </c>
    </row>
    <row r="13" spans="1:10" ht="84">
      <c r="A13" s="688" t="s">
        <v>159</v>
      </c>
      <c r="B13" s="690"/>
      <c r="C13" s="1" t="s">
        <v>164</v>
      </c>
      <c r="D13" s="20" t="s">
        <v>1</v>
      </c>
      <c r="E13" s="21">
        <f>F13/0.8</f>
        <v>89162.999999999985</v>
      </c>
      <c r="F13" s="23">
        <f>198.14*G2</f>
        <v>71330.399999999994</v>
      </c>
      <c r="G13" s="100"/>
      <c r="H13" s="23">
        <v>42800</v>
      </c>
      <c r="I13" s="48">
        <f>H13/186</f>
        <v>230.10752688172042</v>
      </c>
      <c r="J13" s="3">
        <f t="shared" si="0"/>
        <v>58907.526881720427</v>
      </c>
    </row>
    <row r="14" spans="1:10" ht="84">
      <c r="A14" s="688" t="s">
        <v>160</v>
      </c>
      <c r="B14" s="690"/>
      <c r="C14" s="1" t="s">
        <v>165</v>
      </c>
      <c r="D14" s="20" t="s">
        <v>1</v>
      </c>
      <c r="E14" s="21">
        <f>F14/0.8</f>
        <v>95211</v>
      </c>
      <c r="F14" s="23">
        <f>211.58*G2</f>
        <v>76168.800000000003</v>
      </c>
      <c r="G14" s="100"/>
      <c r="H14" s="23">
        <v>45700</v>
      </c>
      <c r="I14" s="48">
        <f>H14/186</f>
        <v>245.69892473118279</v>
      </c>
      <c r="J14" s="3">
        <f t="shared" si="0"/>
        <v>62898.924731182793</v>
      </c>
    </row>
    <row r="15" spans="1:10" ht="84">
      <c r="A15" s="688" t="s">
        <v>161</v>
      </c>
      <c r="B15" s="690"/>
      <c r="C15" s="1" t="s">
        <v>166</v>
      </c>
      <c r="D15" s="20" t="s">
        <v>1</v>
      </c>
      <c r="E15" s="21">
        <f>F15/0.8</f>
        <v>98347.5</v>
      </c>
      <c r="F15" s="23">
        <f>218.55*G2</f>
        <v>78678</v>
      </c>
      <c r="G15" s="100"/>
      <c r="H15" s="23">
        <v>47200</v>
      </c>
      <c r="I15" s="48">
        <f t="shared" si="1"/>
        <v>253.76344086021504</v>
      </c>
      <c r="J15" s="3">
        <f t="shared" si="0"/>
        <v>64963.440860215051</v>
      </c>
    </row>
    <row r="16" spans="1:10" ht="27.75" customHeight="1">
      <c r="A16" s="691" t="s">
        <v>86</v>
      </c>
      <c r="B16" s="692"/>
      <c r="C16" s="692"/>
      <c r="D16" s="692"/>
      <c r="E16" s="692"/>
      <c r="F16" s="692"/>
      <c r="G16" s="693"/>
      <c r="H16" s="52"/>
      <c r="I16" s="48">
        <f t="shared" si="1"/>
        <v>0</v>
      </c>
      <c r="J16" s="3">
        <f t="shared" si="0"/>
        <v>0</v>
      </c>
    </row>
    <row r="17" spans="1:10" ht="60">
      <c r="A17" s="688" t="s">
        <v>185</v>
      </c>
      <c r="B17" s="689"/>
      <c r="C17" s="1" t="s">
        <v>186</v>
      </c>
      <c r="D17" s="20" t="s">
        <v>1</v>
      </c>
      <c r="E17" s="21">
        <f t="shared" ref="E17:E39" si="2">F17/0.8</f>
        <v>52488</v>
      </c>
      <c r="F17" s="67">
        <f>116.64*G2</f>
        <v>41990.400000000001</v>
      </c>
      <c r="G17" s="16"/>
      <c r="H17" s="23">
        <v>24000</v>
      </c>
      <c r="I17" s="48">
        <f t="shared" si="1"/>
        <v>129.03225806451613</v>
      </c>
      <c r="J17" s="3">
        <f t="shared" si="0"/>
        <v>33032.258064516129</v>
      </c>
    </row>
    <row r="18" spans="1:10" ht="60">
      <c r="A18" s="688" t="s">
        <v>189</v>
      </c>
      <c r="B18" s="689"/>
      <c r="C18" s="1" t="s">
        <v>196</v>
      </c>
      <c r="D18" s="20" t="s">
        <v>1</v>
      </c>
      <c r="E18" s="21">
        <f t="shared" si="2"/>
        <v>52488</v>
      </c>
      <c r="F18" s="67">
        <f>116.64*G2</f>
        <v>41990.400000000001</v>
      </c>
      <c r="G18" s="16"/>
      <c r="H18" s="23"/>
      <c r="I18" s="48"/>
    </row>
    <row r="19" spans="1:10" ht="60">
      <c r="A19" s="688" t="s">
        <v>143</v>
      </c>
      <c r="B19" s="689"/>
      <c r="C19" s="1" t="s">
        <v>150</v>
      </c>
      <c r="D19" s="20" t="s">
        <v>1</v>
      </c>
      <c r="E19" s="21">
        <f t="shared" si="2"/>
        <v>52488</v>
      </c>
      <c r="F19" s="67">
        <f>116.64*G2</f>
        <v>41990.400000000001</v>
      </c>
      <c r="G19" s="16"/>
      <c r="H19" s="23">
        <v>24000</v>
      </c>
      <c r="I19" s="48">
        <f t="shared" si="1"/>
        <v>129.03225806451613</v>
      </c>
      <c r="J19" s="3">
        <f t="shared" si="0"/>
        <v>33032.258064516129</v>
      </c>
    </row>
    <row r="20" spans="1:10" ht="75">
      <c r="A20" s="688" t="s">
        <v>144</v>
      </c>
      <c r="B20" s="689"/>
      <c r="C20" s="63" t="s">
        <v>168</v>
      </c>
      <c r="D20" s="20" t="s">
        <v>1</v>
      </c>
      <c r="E20" s="21">
        <f t="shared" si="2"/>
        <v>52488</v>
      </c>
      <c r="F20" s="67">
        <f>116.64*G2</f>
        <v>41990.400000000001</v>
      </c>
      <c r="G20" s="16"/>
      <c r="H20" s="23">
        <v>24000</v>
      </c>
      <c r="I20" s="48">
        <f t="shared" si="1"/>
        <v>129.03225806451613</v>
      </c>
      <c r="J20" s="3">
        <f t="shared" si="0"/>
        <v>33032.258064516129</v>
      </c>
    </row>
    <row r="21" spans="1:10" ht="48">
      <c r="A21" s="688" t="s">
        <v>279</v>
      </c>
      <c r="B21" s="689"/>
      <c r="C21" s="1" t="s">
        <v>281</v>
      </c>
      <c r="D21" s="20" t="s">
        <v>1</v>
      </c>
      <c r="E21" s="21">
        <f t="shared" si="2"/>
        <v>50508</v>
      </c>
      <c r="F21" s="67">
        <f>112.24*G2</f>
        <v>40406.400000000001</v>
      </c>
      <c r="G21" s="16"/>
      <c r="H21" s="23"/>
      <c r="I21" s="48"/>
    </row>
    <row r="22" spans="1:10" ht="48">
      <c r="A22" s="688" t="s">
        <v>280</v>
      </c>
      <c r="B22" s="689"/>
      <c r="C22" s="1" t="s">
        <v>282</v>
      </c>
      <c r="D22" s="20" t="s">
        <v>1</v>
      </c>
      <c r="E22" s="21">
        <f t="shared" si="2"/>
        <v>51210</v>
      </c>
      <c r="F22" s="67">
        <f>113.8*G2</f>
        <v>40968</v>
      </c>
      <c r="G22" s="16"/>
      <c r="H22" s="23"/>
      <c r="I22" s="48"/>
    </row>
    <row r="23" spans="1:10" ht="42" customHeight="1">
      <c r="A23" s="688" t="s">
        <v>10</v>
      </c>
      <c r="B23" s="689"/>
      <c r="C23" s="1" t="s">
        <v>111</v>
      </c>
      <c r="D23" s="20" t="s">
        <v>1</v>
      </c>
      <c r="E23" s="21">
        <f t="shared" si="2"/>
        <v>42511.499999999993</v>
      </c>
      <c r="F23" s="67">
        <f>94.47*G2</f>
        <v>34009.199999999997</v>
      </c>
      <c r="G23" s="16"/>
      <c r="H23" s="23">
        <v>19449.05</v>
      </c>
      <c r="I23" s="48">
        <f t="shared" si="1"/>
        <v>104.56478494623656</v>
      </c>
      <c r="J23" s="3">
        <f t="shared" si="0"/>
        <v>26768.584946236559</v>
      </c>
    </row>
    <row r="24" spans="1:10" ht="42" customHeight="1">
      <c r="A24" s="688" t="s">
        <v>274</v>
      </c>
      <c r="B24" s="690"/>
      <c r="C24" s="1" t="s">
        <v>111</v>
      </c>
      <c r="D24" s="20" t="s">
        <v>1</v>
      </c>
      <c r="E24" s="21">
        <f t="shared" si="2"/>
        <v>42511.499999999993</v>
      </c>
      <c r="F24" s="67">
        <f>94.47*G2</f>
        <v>34009.199999999997</v>
      </c>
      <c r="G24" s="16"/>
      <c r="H24" s="23"/>
      <c r="I24" s="48"/>
    </row>
    <row r="25" spans="1:10" ht="42" customHeight="1">
      <c r="A25" s="688" t="s">
        <v>275</v>
      </c>
      <c r="B25" s="690"/>
      <c r="C25" s="1" t="s">
        <v>111</v>
      </c>
      <c r="D25" s="20" t="s">
        <v>1</v>
      </c>
      <c r="E25" s="21">
        <f t="shared" si="2"/>
        <v>42934.499999999993</v>
      </c>
      <c r="F25" s="67">
        <f>95.41*G2</f>
        <v>34347.599999999999</v>
      </c>
      <c r="G25" s="16"/>
      <c r="H25" s="23"/>
      <c r="I25" s="48"/>
    </row>
    <row r="26" spans="1:10" ht="42" customHeight="1">
      <c r="A26" s="688" t="s">
        <v>276</v>
      </c>
      <c r="B26" s="690"/>
      <c r="C26" s="1" t="s">
        <v>111</v>
      </c>
      <c r="D26" s="20" t="s">
        <v>1</v>
      </c>
      <c r="E26" s="21">
        <f t="shared" si="2"/>
        <v>42934.499999999993</v>
      </c>
      <c r="F26" s="67">
        <f>95.41*G2</f>
        <v>34347.599999999999</v>
      </c>
      <c r="G26" s="16"/>
      <c r="H26" s="23"/>
      <c r="I26" s="48"/>
    </row>
    <row r="27" spans="1:10" ht="42" customHeight="1">
      <c r="A27" s="688" t="s">
        <v>277</v>
      </c>
      <c r="B27" s="689"/>
      <c r="C27" s="1" t="s">
        <v>278</v>
      </c>
      <c r="D27" s="20" t="s">
        <v>1</v>
      </c>
      <c r="E27" s="21">
        <f t="shared" si="2"/>
        <v>67500</v>
      </c>
      <c r="F27" s="67">
        <f>150*G2</f>
        <v>54000</v>
      </c>
      <c r="G27" s="16"/>
      <c r="H27" s="23"/>
      <c r="I27" s="48"/>
    </row>
    <row r="28" spans="1:10" ht="33" customHeight="1">
      <c r="A28" s="688" t="s">
        <v>110</v>
      </c>
      <c r="B28" s="690"/>
      <c r="C28" s="1" t="s">
        <v>170</v>
      </c>
      <c r="D28" s="20" t="s">
        <v>1</v>
      </c>
      <c r="E28" s="21">
        <f t="shared" si="2"/>
        <v>26446.5</v>
      </c>
      <c r="F28" s="67">
        <f>58.77*G2</f>
        <v>21157.200000000001</v>
      </c>
      <c r="G28" s="16"/>
      <c r="H28" s="23"/>
      <c r="I28" s="48"/>
    </row>
    <row r="29" spans="1:10" ht="33.75" customHeight="1">
      <c r="A29" s="688" t="s">
        <v>109</v>
      </c>
      <c r="B29" s="690"/>
      <c r="C29" s="1" t="s">
        <v>170</v>
      </c>
      <c r="D29" s="20" t="s">
        <v>1</v>
      </c>
      <c r="E29" s="21">
        <f t="shared" si="2"/>
        <v>29538</v>
      </c>
      <c r="F29" s="67">
        <f>65.64*G2</f>
        <v>23630.400000000001</v>
      </c>
      <c r="G29" s="16"/>
      <c r="H29" s="23">
        <v>13500</v>
      </c>
      <c r="I29" s="48">
        <f t="shared" si="1"/>
        <v>72.58064516129032</v>
      </c>
      <c r="J29" s="3">
        <f t="shared" si="0"/>
        <v>18580.645161290322</v>
      </c>
    </row>
    <row r="30" spans="1:10" ht="39.75" customHeight="1">
      <c r="A30" s="688" t="s">
        <v>190</v>
      </c>
      <c r="B30" s="690"/>
      <c r="C30" s="1" t="s">
        <v>198</v>
      </c>
      <c r="D30" s="20" t="s">
        <v>1</v>
      </c>
      <c r="E30" s="21">
        <f t="shared" si="2"/>
        <v>29897.999999999996</v>
      </c>
      <c r="F30" s="67">
        <f>66.44*G2</f>
        <v>23918.399999999998</v>
      </c>
      <c r="G30" s="16"/>
      <c r="H30" s="23"/>
      <c r="I30" s="48"/>
    </row>
    <row r="31" spans="1:10" ht="40.5" customHeight="1">
      <c r="A31" s="688" t="s">
        <v>191</v>
      </c>
      <c r="B31" s="690"/>
      <c r="C31" s="1" t="s">
        <v>197</v>
      </c>
      <c r="D31" s="20" t="s">
        <v>1</v>
      </c>
      <c r="E31" s="21">
        <f t="shared" si="2"/>
        <v>29897.999999999996</v>
      </c>
      <c r="F31" s="67">
        <f>66.44*G2</f>
        <v>23918.399999999998</v>
      </c>
      <c r="G31" s="16"/>
      <c r="H31" s="23"/>
      <c r="I31" s="48"/>
    </row>
    <row r="32" spans="1:10" ht="40.5" customHeight="1">
      <c r="A32" s="688" t="s">
        <v>192</v>
      </c>
      <c r="B32" s="690"/>
      <c r="C32" s="1" t="s">
        <v>199</v>
      </c>
      <c r="D32" s="20" t="s">
        <v>1</v>
      </c>
      <c r="E32" s="21">
        <f t="shared" si="2"/>
        <v>29897.999999999996</v>
      </c>
      <c r="F32" s="67">
        <f>66.44*G2</f>
        <v>23918.399999999998</v>
      </c>
      <c r="G32" s="16"/>
      <c r="H32" s="23"/>
      <c r="I32" s="48"/>
    </row>
    <row r="33" spans="1:10" ht="34.5" customHeight="1">
      <c r="A33" s="688" t="s">
        <v>193</v>
      </c>
      <c r="B33" s="690"/>
      <c r="C33" s="1" t="s">
        <v>200</v>
      </c>
      <c r="D33" s="20" t="s">
        <v>1</v>
      </c>
      <c r="E33" s="21">
        <f t="shared" si="2"/>
        <v>29897.999999999996</v>
      </c>
      <c r="F33" s="67">
        <f>66.44*G2</f>
        <v>23918.399999999998</v>
      </c>
      <c r="G33" s="16"/>
      <c r="H33" s="23"/>
      <c r="I33" s="48"/>
    </row>
    <row r="34" spans="1:10" ht="28.5" customHeight="1">
      <c r="A34" s="688" t="s">
        <v>142</v>
      </c>
      <c r="B34" s="690"/>
      <c r="C34" s="1" t="s">
        <v>112</v>
      </c>
      <c r="D34" s="20" t="s">
        <v>1</v>
      </c>
      <c r="E34" s="21">
        <f t="shared" si="2"/>
        <v>26919</v>
      </c>
      <c r="F34" s="67">
        <f>59.82*G2</f>
        <v>21535.200000000001</v>
      </c>
      <c r="G34" s="16"/>
      <c r="H34" s="23"/>
      <c r="I34" s="48"/>
    </row>
    <row r="35" spans="1:10" ht="31.5" customHeight="1">
      <c r="A35" s="688" t="s">
        <v>195</v>
      </c>
      <c r="B35" s="690"/>
      <c r="C35" s="1" t="s">
        <v>112</v>
      </c>
      <c r="D35" s="20" t="s">
        <v>1</v>
      </c>
      <c r="E35" s="21">
        <f t="shared" si="2"/>
        <v>28741.5</v>
      </c>
      <c r="F35" s="67">
        <f>63.87*G2</f>
        <v>22993.200000000001</v>
      </c>
      <c r="G35" s="16"/>
      <c r="H35" s="23"/>
      <c r="I35" s="48"/>
    </row>
    <row r="36" spans="1:10" ht="30" customHeight="1">
      <c r="A36" s="688" t="s">
        <v>171</v>
      </c>
      <c r="B36" s="689"/>
      <c r="C36" s="1" t="s">
        <v>92</v>
      </c>
      <c r="D36" s="20" t="s">
        <v>1</v>
      </c>
      <c r="E36" s="21">
        <f t="shared" si="2"/>
        <v>23840.999999999996</v>
      </c>
      <c r="F36" s="67">
        <f>52.98*G2</f>
        <v>19072.8</v>
      </c>
      <c r="G36" s="45"/>
      <c r="H36" s="23">
        <v>10900</v>
      </c>
      <c r="I36" s="48">
        <f t="shared" si="1"/>
        <v>58.602150537634408</v>
      </c>
      <c r="J36" s="3">
        <f t="shared" si="0"/>
        <v>15002.150537634408</v>
      </c>
    </row>
    <row r="37" spans="1:10" ht="31.5" customHeight="1">
      <c r="A37" s="688" t="s">
        <v>194</v>
      </c>
      <c r="B37" s="689"/>
      <c r="C37" s="1" t="s">
        <v>93</v>
      </c>
      <c r="D37" s="20"/>
      <c r="E37" s="21">
        <f t="shared" si="2"/>
        <v>23840.999999999996</v>
      </c>
      <c r="F37" s="67">
        <f>52.98*G2</f>
        <v>19072.8</v>
      </c>
      <c r="G37" s="45"/>
      <c r="H37" s="23"/>
      <c r="I37" s="48"/>
    </row>
    <row r="38" spans="1:10" ht="30" customHeight="1">
      <c r="A38" s="722" t="s">
        <v>141</v>
      </c>
      <c r="B38" s="723"/>
      <c r="C38" s="1" t="s">
        <v>93</v>
      </c>
      <c r="D38" s="20" t="s">
        <v>1</v>
      </c>
      <c r="E38" s="21">
        <f t="shared" si="2"/>
        <v>9072</v>
      </c>
      <c r="F38" s="67">
        <f>20.16*G2</f>
        <v>7257.6</v>
      </c>
      <c r="G38" s="45"/>
      <c r="H38" s="23">
        <v>4149.55</v>
      </c>
      <c r="I38" s="48">
        <f t="shared" si="1"/>
        <v>22.309408602150537</v>
      </c>
      <c r="J38" s="3">
        <f t="shared" si="0"/>
        <v>5711.2086021505374</v>
      </c>
    </row>
    <row r="39" spans="1:10" ht="36.75" customHeight="1">
      <c r="A39" s="688" t="s">
        <v>113</v>
      </c>
      <c r="B39" s="690"/>
      <c r="C39" s="1" t="s">
        <v>114</v>
      </c>
      <c r="D39" s="20" t="s">
        <v>1</v>
      </c>
      <c r="E39" s="21">
        <f t="shared" si="2"/>
        <v>3294</v>
      </c>
      <c r="F39" s="67">
        <f>7.32*G2</f>
        <v>2635.2000000000003</v>
      </c>
      <c r="G39" s="26"/>
      <c r="H39" s="23">
        <v>1500</v>
      </c>
      <c r="I39" s="48">
        <f t="shared" si="1"/>
        <v>8.064516129032258</v>
      </c>
      <c r="J39" s="3">
        <f t="shared" si="0"/>
        <v>2064.516129032258</v>
      </c>
    </row>
    <row r="40" spans="1:10" ht="26.25" customHeight="1">
      <c r="A40" s="691" t="s">
        <v>87</v>
      </c>
      <c r="B40" s="692"/>
      <c r="C40" s="692"/>
      <c r="D40" s="692"/>
      <c r="E40" s="692"/>
      <c r="F40" s="692"/>
      <c r="G40" s="693"/>
      <c r="H40" s="52"/>
      <c r="I40" s="48">
        <f t="shared" si="1"/>
        <v>0</v>
      </c>
      <c r="J40" s="3">
        <f t="shared" si="0"/>
        <v>0</v>
      </c>
    </row>
    <row r="41" spans="1:10" ht="47.25" customHeight="1">
      <c r="A41" s="718" t="s">
        <v>88</v>
      </c>
      <c r="B41" s="719"/>
      <c r="C41" s="22" t="s">
        <v>169</v>
      </c>
      <c r="D41" s="20" t="s">
        <v>1</v>
      </c>
      <c r="E41" s="21">
        <f>F41/0.8</f>
        <v>5192.9999999999991</v>
      </c>
      <c r="F41" s="67">
        <f>11.54*G2</f>
        <v>4154.3999999999996</v>
      </c>
      <c r="G41" s="16"/>
      <c r="H41" s="23">
        <v>2500</v>
      </c>
      <c r="I41" s="48">
        <f t="shared" si="1"/>
        <v>13.440860215053764</v>
      </c>
      <c r="J41" s="3">
        <f t="shared" si="0"/>
        <v>3440.8602150537636</v>
      </c>
    </row>
    <row r="42" spans="1:10" ht="28.5" customHeight="1">
      <c r="A42" s="691" t="s">
        <v>85</v>
      </c>
      <c r="B42" s="692"/>
      <c r="C42" s="692"/>
      <c r="D42" s="692"/>
      <c r="E42" s="692"/>
      <c r="F42" s="692"/>
      <c r="G42" s="693"/>
      <c r="H42" s="52"/>
      <c r="I42" s="48">
        <f t="shared" si="1"/>
        <v>0</v>
      </c>
      <c r="J42" s="3">
        <f t="shared" si="0"/>
        <v>0</v>
      </c>
    </row>
    <row r="43" spans="1:10" ht="56.25" customHeight="1">
      <c r="A43" s="688" t="s">
        <v>236</v>
      </c>
      <c r="B43" s="689"/>
      <c r="C43" s="720" t="s">
        <v>232</v>
      </c>
      <c r="D43" s="20" t="s">
        <v>1</v>
      </c>
      <c r="E43" s="21">
        <f t="shared" ref="E43:E54" si="3">F43/0.8</f>
        <v>49725</v>
      </c>
      <c r="F43" s="67">
        <f>110.5*G2</f>
        <v>39780</v>
      </c>
      <c r="G43" s="727"/>
      <c r="H43" s="23">
        <v>23900</v>
      </c>
      <c r="I43" s="48">
        <f t="shared" si="1"/>
        <v>128.49462365591398</v>
      </c>
      <c r="J43" s="3">
        <f t="shared" si="0"/>
        <v>32894.62365591398</v>
      </c>
    </row>
    <row r="44" spans="1:10" ht="56.25" customHeight="1">
      <c r="A44" s="688" t="s">
        <v>237</v>
      </c>
      <c r="B44" s="689"/>
      <c r="C44" s="721"/>
      <c r="D44" s="20" t="s">
        <v>1</v>
      </c>
      <c r="E44" s="21">
        <f t="shared" si="3"/>
        <v>49725</v>
      </c>
      <c r="F44" s="67">
        <f>110.5*G2</f>
        <v>39780</v>
      </c>
      <c r="G44" s="728"/>
      <c r="H44" s="23">
        <v>23900</v>
      </c>
      <c r="I44" s="48">
        <f t="shared" si="1"/>
        <v>128.49462365591398</v>
      </c>
      <c r="J44" s="3">
        <f t="shared" si="0"/>
        <v>32894.62365591398</v>
      </c>
    </row>
    <row r="45" spans="1:10" ht="101.25">
      <c r="A45" s="688" t="s">
        <v>238</v>
      </c>
      <c r="B45" s="689"/>
      <c r="C45" s="106" t="s">
        <v>227</v>
      </c>
      <c r="D45" s="20" t="s">
        <v>1</v>
      </c>
      <c r="E45" s="21">
        <f t="shared" si="3"/>
        <v>49923</v>
      </c>
      <c r="F45" s="67">
        <f>110.94*G2</f>
        <v>39938.400000000001</v>
      </c>
      <c r="G45" s="60"/>
      <c r="H45" s="23"/>
      <c r="I45" s="48"/>
    </row>
    <row r="46" spans="1:10" ht="101.25">
      <c r="A46" s="688" t="s">
        <v>239</v>
      </c>
      <c r="B46" s="690"/>
      <c r="C46" s="106" t="s">
        <v>184</v>
      </c>
      <c r="D46" s="20" t="s">
        <v>1</v>
      </c>
      <c r="E46" s="21">
        <f t="shared" si="3"/>
        <v>29456.999999999996</v>
      </c>
      <c r="F46" s="67">
        <f>65.46*G2</f>
        <v>23565.599999999999</v>
      </c>
      <c r="G46" s="58"/>
      <c r="H46" s="23">
        <v>13600</v>
      </c>
      <c r="I46" s="48">
        <f t="shared" si="1"/>
        <v>73.118279569892479</v>
      </c>
      <c r="J46" s="3">
        <f t="shared" si="0"/>
        <v>18718.279569892475</v>
      </c>
    </row>
    <row r="47" spans="1:10" ht="57.75" customHeight="1">
      <c r="A47" s="699" t="s">
        <v>240</v>
      </c>
      <c r="B47" s="700"/>
      <c r="C47" s="730" t="s">
        <v>183</v>
      </c>
      <c r="D47" s="16" t="s">
        <v>1</v>
      </c>
      <c r="E47" s="21">
        <f t="shared" si="3"/>
        <v>28471.5</v>
      </c>
      <c r="F47" s="75">
        <f>63.27*G2</f>
        <v>22777.200000000001</v>
      </c>
      <c r="G47" s="89"/>
      <c r="H47" s="23">
        <v>13875</v>
      </c>
      <c r="I47" s="48">
        <f t="shared" si="1"/>
        <v>74.596774193548384</v>
      </c>
      <c r="J47" s="3">
        <f t="shared" si="0"/>
        <v>19096.774193548386</v>
      </c>
    </row>
    <row r="48" spans="1:10" ht="57.75" customHeight="1">
      <c r="A48" s="699" t="s">
        <v>241</v>
      </c>
      <c r="B48" s="700"/>
      <c r="C48" s="731"/>
      <c r="D48" s="16" t="s">
        <v>1</v>
      </c>
      <c r="E48" s="21">
        <f t="shared" si="3"/>
        <v>28471.5</v>
      </c>
      <c r="F48" s="75">
        <f>63.27*G2</f>
        <v>22777.200000000001</v>
      </c>
      <c r="G48" s="89"/>
      <c r="H48" s="23"/>
      <c r="I48" s="48"/>
    </row>
    <row r="49" spans="1:12" ht="101.25">
      <c r="A49" s="699" t="s">
        <v>242</v>
      </c>
      <c r="B49" s="700"/>
      <c r="C49" s="90" t="s">
        <v>228</v>
      </c>
      <c r="D49" s="16" t="s">
        <v>1</v>
      </c>
      <c r="E49" s="21">
        <f t="shared" si="3"/>
        <v>36621</v>
      </c>
      <c r="F49" s="75">
        <f>81.38*G2</f>
        <v>29296.799999999999</v>
      </c>
      <c r="G49" s="91"/>
      <c r="H49" s="23"/>
      <c r="I49" s="48"/>
    </row>
    <row r="50" spans="1:12" ht="60.75" customHeight="1">
      <c r="A50" s="688" t="s">
        <v>243</v>
      </c>
      <c r="B50" s="689"/>
      <c r="C50" s="720" t="s">
        <v>229</v>
      </c>
      <c r="D50" s="20" t="s">
        <v>1</v>
      </c>
      <c r="E50" s="21">
        <f t="shared" si="3"/>
        <v>17901</v>
      </c>
      <c r="F50" s="67">
        <f>39.78*G2</f>
        <v>14320.800000000001</v>
      </c>
      <c r="G50" s="110"/>
      <c r="H50" s="23">
        <v>8600</v>
      </c>
      <c r="I50" s="48">
        <f t="shared" si="1"/>
        <v>46.236559139784944</v>
      </c>
      <c r="J50" s="3">
        <f t="shared" si="0"/>
        <v>11836.559139784946</v>
      </c>
    </row>
    <row r="51" spans="1:12" ht="60.75" customHeight="1">
      <c r="A51" s="688" t="s">
        <v>244</v>
      </c>
      <c r="B51" s="689"/>
      <c r="C51" s="721"/>
      <c r="D51" s="20" t="s">
        <v>1</v>
      </c>
      <c r="E51" s="21">
        <f t="shared" si="3"/>
        <v>19570.5</v>
      </c>
      <c r="F51" s="67">
        <f>43.49*G2</f>
        <v>15656.400000000001</v>
      </c>
      <c r="G51" s="16" t="s">
        <v>271</v>
      </c>
      <c r="H51" s="23">
        <v>9400</v>
      </c>
      <c r="I51" s="48">
        <f t="shared" si="1"/>
        <v>50.537634408602152</v>
      </c>
      <c r="J51" s="3">
        <f t="shared" si="0"/>
        <v>12937.634408602151</v>
      </c>
    </row>
    <row r="52" spans="1:12" ht="101.25">
      <c r="A52" s="710" t="s">
        <v>245</v>
      </c>
      <c r="B52" s="689"/>
      <c r="C52" s="11" t="s">
        <v>187</v>
      </c>
      <c r="D52" s="20" t="s">
        <v>1</v>
      </c>
      <c r="E52" s="21">
        <f t="shared" si="3"/>
        <v>12248.999999999998</v>
      </c>
      <c r="F52" s="67">
        <f>27.22*G2</f>
        <v>9799.1999999999989</v>
      </c>
      <c r="G52" s="89"/>
      <c r="H52" s="23">
        <v>5650</v>
      </c>
      <c r="I52" s="48">
        <f t="shared" si="1"/>
        <v>30.376344086021504</v>
      </c>
      <c r="J52" s="3">
        <f t="shared" si="0"/>
        <v>7776.3440860215051</v>
      </c>
    </row>
    <row r="53" spans="1:12" ht="101.25">
      <c r="A53" s="710" t="s">
        <v>246</v>
      </c>
      <c r="B53" s="689"/>
      <c r="C53" s="11" t="s">
        <v>230</v>
      </c>
      <c r="D53" s="20" t="s">
        <v>1</v>
      </c>
      <c r="E53" s="21">
        <f t="shared" si="3"/>
        <v>12248.999999999998</v>
      </c>
      <c r="F53" s="67">
        <f>27.22*G2</f>
        <v>9799.1999999999989</v>
      </c>
      <c r="G53" s="16"/>
      <c r="H53" s="23">
        <v>5650</v>
      </c>
      <c r="I53" s="48">
        <f t="shared" si="1"/>
        <v>30.376344086021504</v>
      </c>
      <c r="J53" s="3">
        <f t="shared" si="0"/>
        <v>7776.3440860215051</v>
      </c>
    </row>
    <row r="54" spans="1:12" ht="101.25">
      <c r="A54" s="710" t="s">
        <v>247</v>
      </c>
      <c r="B54" s="689"/>
      <c r="C54" s="11" t="s">
        <v>188</v>
      </c>
      <c r="D54" s="20" t="s">
        <v>1</v>
      </c>
      <c r="E54" s="21">
        <f t="shared" si="3"/>
        <v>10399.5</v>
      </c>
      <c r="F54" s="67">
        <f>23.11*G2</f>
        <v>8319.6</v>
      </c>
      <c r="G54" s="16"/>
      <c r="H54" s="23">
        <v>4800</v>
      </c>
      <c r="I54" s="48">
        <f t="shared" si="1"/>
        <v>25.806451612903224</v>
      </c>
      <c r="J54" s="3">
        <f t="shared" si="0"/>
        <v>6606.4516129032254</v>
      </c>
    </row>
    <row r="55" spans="1:12" ht="16.5" customHeight="1">
      <c r="A55" s="712" t="s">
        <v>4</v>
      </c>
      <c r="B55" s="713"/>
      <c r="C55" s="713"/>
      <c r="D55" s="713"/>
      <c r="E55" s="713"/>
      <c r="F55" s="713"/>
      <c r="G55" s="714"/>
      <c r="H55" s="49"/>
      <c r="I55" s="48">
        <f t="shared" si="1"/>
        <v>0</v>
      </c>
      <c r="J55" s="3">
        <f t="shared" si="0"/>
        <v>0</v>
      </c>
    </row>
    <row r="56" spans="1:12" ht="12.75" customHeight="1">
      <c r="A56" s="715" t="s">
        <v>24</v>
      </c>
      <c r="B56" s="716"/>
      <c r="C56" s="716"/>
      <c r="D56" s="716"/>
      <c r="E56" s="716"/>
      <c r="F56" s="716"/>
      <c r="G56" s="717"/>
      <c r="H56" s="50"/>
      <c r="I56" s="48">
        <f t="shared" si="1"/>
        <v>0</v>
      </c>
      <c r="J56" s="3">
        <f t="shared" si="0"/>
        <v>0</v>
      </c>
    </row>
    <row r="57" spans="1:12" ht="24.75" customHeight="1">
      <c r="A57" s="688" t="s">
        <v>35</v>
      </c>
      <c r="B57" s="689"/>
      <c r="C57" s="22" t="s">
        <v>206</v>
      </c>
      <c r="D57" s="20" t="s">
        <v>1</v>
      </c>
      <c r="E57" s="70">
        <f t="shared" ref="E57:E62" si="4">F57/0.8</f>
        <v>52700.399999999994</v>
      </c>
      <c r="F57" s="67">
        <f>117.112*G2</f>
        <v>42160.32</v>
      </c>
      <c r="G57" s="108"/>
      <c r="H57" s="23">
        <v>25300</v>
      </c>
      <c r="I57" s="48">
        <f t="shared" si="1"/>
        <v>136.02150537634409</v>
      </c>
      <c r="J57" s="3">
        <f t="shared" si="0"/>
        <v>34821.505376344088</v>
      </c>
    </row>
    <row r="58" spans="1:12" ht="24.75" customHeight="1">
      <c r="A58" s="688" t="s">
        <v>260</v>
      </c>
      <c r="B58" s="689"/>
      <c r="C58" s="22" t="s">
        <v>261</v>
      </c>
      <c r="D58" s="20" t="s">
        <v>1</v>
      </c>
      <c r="E58" s="70">
        <f t="shared" si="4"/>
        <v>48968.999999999993</v>
      </c>
      <c r="F58" s="67">
        <f>108.82*G2</f>
        <v>39175.199999999997</v>
      </c>
      <c r="G58" s="108"/>
      <c r="H58" s="23"/>
      <c r="I58" s="48"/>
    </row>
    <row r="59" spans="1:12" ht="22.5" customHeight="1">
      <c r="A59" s="688" t="s">
        <v>36</v>
      </c>
      <c r="B59" s="689"/>
      <c r="C59" s="22" t="s">
        <v>207</v>
      </c>
      <c r="D59" s="20" t="s">
        <v>1</v>
      </c>
      <c r="E59" s="70">
        <f t="shared" si="4"/>
        <v>41269.049999999996</v>
      </c>
      <c r="F59" s="67">
        <f>91.709*G2</f>
        <v>33015.24</v>
      </c>
      <c r="G59" s="100"/>
      <c r="H59" s="23">
        <v>19800</v>
      </c>
      <c r="I59" s="48">
        <f t="shared" si="1"/>
        <v>106.45161290322581</v>
      </c>
      <c r="J59" s="3">
        <f t="shared" si="0"/>
        <v>27251.612903225807</v>
      </c>
    </row>
    <row r="60" spans="1:12" ht="22.5" customHeight="1">
      <c r="A60" s="688" t="s">
        <v>37</v>
      </c>
      <c r="B60" s="689"/>
      <c r="C60" s="22" t="s">
        <v>208</v>
      </c>
      <c r="D60" s="20" t="s">
        <v>1</v>
      </c>
      <c r="E60" s="70">
        <f t="shared" si="4"/>
        <v>35843.85</v>
      </c>
      <c r="F60" s="67">
        <f>79.653*G2</f>
        <v>28675.08</v>
      </c>
      <c r="G60" s="108"/>
      <c r="H60" s="23">
        <v>17200</v>
      </c>
      <c r="I60" s="48">
        <f t="shared" si="1"/>
        <v>92.473118279569889</v>
      </c>
      <c r="J60" s="3">
        <f t="shared" si="0"/>
        <v>23673.118279569891</v>
      </c>
      <c r="L60" s="25"/>
    </row>
    <row r="61" spans="1:12" ht="24.75" customHeight="1">
      <c r="A61" s="688" t="s">
        <v>38</v>
      </c>
      <c r="B61" s="689"/>
      <c r="C61" s="22" t="s">
        <v>209</v>
      </c>
      <c r="D61" s="20" t="s">
        <v>1</v>
      </c>
      <c r="E61" s="70">
        <f t="shared" si="4"/>
        <v>27706.5</v>
      </c>
      <c r="F61" s="67">
        <f>61.57*G2</f>
        <v>22165.200000000001</v>
      </c>
      <c r="G61" s="100"/>
      <c r="H61" s="23">
        <v>13300</v>
      </c>
      <c r="I61" s="48">
        <f t="shared" si="1"/>
        <v>71.505376344086017</v>
      </c>
      <c r="J61" s="3">
        <f t="shared" si="0"/>
        <v>18305.37634408602</v>
      </c>
    </row>
    <row r="62" spans="1:12" ht="24" customHeight="1">
      <c r="A62" s="688" t="s">
        <v>25</v>
      </c>
      <c r="B62" s="689"/>
      <c r="C62" s="22" t="s">
        <v>231</v>
      </c>
      <c r="D62" s="20" t="s">
        <v>1</v>
      </c>
      <c r="E62" s="70">
        <f t="shared" si="4"/>
        <v>58230</v>
      </c>
      <c r="F62" s="67">
        <f>129.4*G2</f>
        <v>46584</v>
      </c>
      <c r="G62" s="108"/>
      <c r="H62" s="23">
        <v>27929.032258064515</v>
      </c>
      <c r="I62" s="48">
        <f t="shared" si="1"/>
        <v>150.15608740894902</v>
      </c>
      <c r="J62" s="3">
        <f t="shared" si="0"/>
        <v>38439.958376690949</v>
      </c>
    </row>
    <row r="63" spans="1:12" ht="23.25" customHeight="1">
      <c r="A63" s="729" t="s">
        <v>3</v>
      </c>
      <c r="B63" s="729"/>
      <c r="C63" s="729"/>
      <c r="D63" s="729"/>
      <c r="E63" s="729"/>
      <c r="F63" s="729"/>
      <c r="G63" s="729"/>
      <c r="H63" s="53"/>
      <c r="I63" s="48">
        <f t="shared" si="1"/>
        <v>0</v>
      </c>
      <c r="J63" s="3">
        <f t="shared" si="0"/>
        <v>0</v>
      </c>
    </row>
    <row r="64" spans="1:12" ht="20.25" customHeight="1">
      <c r="A64" s="691" t="s">
        <v>83</v>
      </c>
      <c r="B64" s="692"/>
      <c r="C64" s="692"/>
      <c r="D64" s="692"/>
      <c r="E64" s="692"/>
      <c r="F64" s="692"/>
      <c r="G64" s="693"/>
      <c r="H64" s="52"/>
      <c r="I64" s="48">
        <f t="shared" si="1"/>
        <v>0</v>
      </c>
      <c r="J64" s="3">
        <f t="shared" si="0"/>
        <v>0</v>
      </c>
    </row>
    <row r="65" spans="1:11" ht="31.5" customHeight="1">
      <c r="A65" s="694" t="s">
        <v>74</v>
      </c>
      <c r="B65" s="695"/>
      <c r="C65" s="99" t="s">
        <v>204</v>
      </c>
      <c r="D65" s="100" t="s">
        <v>1</v>
      </c>
      <c r="E65" s="104">
        <f>F65/0.8</f>
        <v>14026.5</v>
      </c>
      <c r="F65" s="24">
        <f>31.17*G2</f>
        <v>11221.2</v>
      </c>
      <c r="G65" s="103" t="s">
        <v>288</v>
      </c>
      <c r="H65" s="24">
        <v>13302</v>
      </c>
      <c r="I65" s="48">
        <f t="shared" si="1"/>
        <v>71.516129032258064</v>
      </c>
      <c r="J65" s="3">
        <f t="shared" si="0"/>
        <v>18308.129032258064</v>
      </c>
      <c r="K65" s="25"/>
    </row>
    <row r="66" spans="1:11" ht="26.25" customHeight="1">
      <c r="A66" s="694" t="s">
        <v>75</v>
      </c>
      <c r="B66" s="695"/>
      <c r="C66" s="99" t="s">
        <v>205</v>
      </c>
      <c r="D66" s="100" t="s">
        <v>1</v>
      </c>
      <c r="E66" s="104">
        <f>F66/0.8</f>
        <v>25051.5</v>
      </c>
      <c r="F66" s="24">
        <f>55.67*G2</f>
        <v>20041.2</v>
      </c>
      <c r="G66" s="103" t="s">
        <v>288</v>
      </c>
      <c r="H66" s="24">
        <v>18593</v>
      </c>
      <c r="I66" s="48">
        <f t="shared" si="1"/>
        <v>99.962365591397855</v>
      </c>
      <c r="J66" s="3">
        <f t="shared" si="0"/>
        <v>25590.365591397851</v>
      </c>
      <c r="K66" s="25"/>
    </row>
    <row r="67" spans="1:11" ht="26.25" customHeight="1">
      <c r="A67" s="691" t="s">
        <v>264</v>
      </c>
      <c r="B67" s="692"/>
      <c r="C67" s="692"/>
      <c r="D67" s="692"/>
      <c r="E67" s="692"/>
      <c r="F67" s="692"/>
      <c r="G67" s="692"/>
      <c r="H67" s="82"/>
      <c r="I67" s="83"/>
    </row>
    <row r="68" spans="1:11" ht="26.25" customHeight="1">
      <c r="A68" s="698" t="s">
        <v>266</v>
      </c>
      <c r="B68" s="698"/>
      <c r="C68" s="85" t="s">
        <v>270</v>
      </c>
      <c r="D68" s="16" t="s">
        <v>1</v>
      </c>
      <c r="E68" s="56">
        <f>F68/0.8</f>
        <v>12222</v>
      </c>
      <c r="F68" s="92">
        <f>27.16*G2</f>
        <v>9777.6</v>
      </c>
      <c r="G68" s="109"/>
      <c r="H68" s="84"/>
      <c r="I68" s="84"/>
    </row>
    <row r="69" spans="1:11" ht="28.5" customHeight="1">
      <c r="A69" s="698" t="s">
        <v>265</v>
      </c>
      <c r="B69" s="698"/>
      <c r="C69" s="85" t="s">
        <v>267</v>
      </c>
      <c r="D69" s="16" t="s">
        <v>1</v>
      </c>
      <c r="E69" s="56">
        <f>F69/0.8</f>
        <v>13265.999999999998</v>
      </c>
      <c r="F69" s="77">
        <f>29.48*G2</f>
        <v>10612.8</v>
      </c>
      <c r="G69" s="45"/>
      <c r="H69" s="81"/>
      <c r="I69" s="48"/>
    </row>
    <row r="70" spans="1:11" ht="22.5" customHeight="1">
      <c r="A70" s="691" t="s">
        <v>179</v>
      </c>
      <c r="B70" s="692"/>
      <c r="C70" s="692"/>
      <c r="D70" s="692"/>
      <c r="E70" s="692"/>
      <c r="F70" s="692"/>
      <c r="G70" s="693"/>
      <c r="H70" s="52"/>
      <c r="I70" s="48">
        <f t="shared" si="1"/>
        <v>0</v>
      </c>
      <c r="J70" s="3">
        <f t="shared" si="0"/>
        <v>0</v>
      </c>
    </row>
    <row r="71" spans="1:11" ht="23.25" customHeight="1">
      <c r="A71" s="701" t="s">
        <v>180</v>
      </c>
      <c r="B71" s="702"/>
      <c r="C71" s="64" t="s">
        <v>181</v>
      </c>
      <c r="D71" s="45" t="s">
        <v>1</v>
      </c>
      <c r="E71" s="57">
        <f>F71/0.8</f>
        <v>14912.999999999998</v>
      </c>
      <c r="F71" s="57">
        <f>33.14*G2</f>
        <v>11930.4</v>
      </c>
      <c r="G71" s="109"/>
      <c r="H71" s="54"/>
      <c r="I71" s="48">
        <f t="shared" si="1"/>
        <v>0</v>
      </c>
      <c r="J71" s="3">
        <f t="shared" si="0"/>
        <v>0</v>
      </c>
    </row>
    <row r="72" spans="1:11" ht="28.5" customHeight="1">
      <c r="A72" s="691" t="s">
        <v>224</v>
      </c>
      <c r="B72" s="692"/>
      <c r="C72" s="692"/>
      <c r="D72" s="692"/>
      <c r="E72" s="692"/>
      <c r="F72" s="692"/>
      <c r="G72" s="693"/>
      <c r="H72" s="54"/>
      <c r="I72" s="48"/>
    </row>
    <row r="73" spans="1:11" ht="28.5" customHeight="1">
      <c r="A73" s="698" t="s">
        <v>258</v>
      </c>
      <c r="B73" s="698"/>
      <c r="C73" s="64" t="s">
        <v>259</v>
      </c>
      <c r="D73" s="45" t="s">
        <v>1</v>
      </c>
      <c r="E73" s="57">
        <f>F73/0.8</f>
        <v>4122</v>
      </c>
      <c r="F73" s="57">
        <f>9.16*G2</f>
        <v>3297.6</v>
      </c>
      <c r="G73" s="109"/>
      <c r="H73" s="54"/>
      <c r="I73" s="48"/>
    </row>
    <row r="74" spans="1:11" ht="23.25" customHeight="1">
      <c r="A74" s="698" t="s">
        <v>225</v>
      </c>
      <c r="B74" s="698"/>
      <c r="C74" s="64" t="s">
        <v>226</v>
      </c>
      <c r="D74" s="45" t="s">
        <v>1</v>
      </c>
      <c r="E74" s="57">
        <f>F74/0.8</f>
        <v>6182.9999999999991</v>
      </c>
      <c r="F74" s="57">
        <f>13.74*G2</f>
        <v>4946.3999999999996</v>
      </c>
      <c r="G74" s="109"/>
      <c r="H74" s="54"/>
      <c r="I74" s="48"/>
    </row>
    <row r="75" spans="1:11" ht="25.5" customHeight="1">
      <c r="A75" s="691" t="s">
        <v>80</v>
      </c>
      <c r="B75" s="692"/>
      <c r="C75" s="692"/>
      <c r="D75" s="692"/>
      <c r="E75" s="692"/>
      <c r="F75" s="692"/>
      <c r="G75" s="693"/>
      <c r="H75" s="52"/>
      <c r="I75" s="48">
        <f t="shared" si="1"/>
        <v>0</v>
      </c>
      <c r="J75" s="3">
        <f t="shared" si="0"/>
        <v>0</v>
      </c>
    </row>
    <row r="76" spans="1:11" ht="38.25" customHeight="1">
      <c r="A76" s="701" t="s">
        <v>7</v>
      </c>
      <c r="B76" s="700"/>
      <c r="C76" s="73" t="s">
        <v>202</v>
      </c>
      <c r="D76" s="16" t="s">
        <v>1</v>
      </c>
      <c r="E76" s="74">
        <f t="shared" ref="E76:E81" si="5">F76/0.8</f>
        <v>9675</v>
      </c>
      <c r="F76" s="75">
        <f>21.5*G2</f>
        <v>7740</v>
      </c>
      <c r="G76" s="45"/>
      <c r="H76" s="24">
        <v>3990</v>
      </c>
      <c r="I76" s="48">
        <f t="shared" si="1"/>
        <v>21.451612903225808</v>
      </c>
      <c r="J76" s="3">
        <f t="shared" si="0"/>
        <v>5491.6129032258068</v>
      </c>
    </row>
    <row r="77" spans="1:11" ht="29.25" customHeight="1">
      <c r="A77" s="699" t="s">
        <v>233</v>
      </c>
      <c r="B77" s="700"/>
      <c r="C77" s="73" t="s">
        <v>203</v>
      </c>
      <c r="D77" s="16" t="s">
        <v>1</v>
      </c>
      <c r="E77" s="76">
        <f t="shared" si="5"/>
        <v>15826.5</v>
      </c>
      <c r="F77" s="77">
        <f>35.17*G2</f>
        <v>12661.2</v>
      </c>
      <c r="G77" s="45"/>
      <c r="H77" s="24"/>
      <c r="I77" s="48"/>
    </row>
    <row r="78" spans="1:11" ht="29.25" customHeight="1">
      <c r="A78" s="699" t="s">
        <v>234</v>
      </c>
      <c r="B78" s="700"/>
      <c r="C78" s="73" t="s">
        <v>203</v>
      </c>
      <c r="D78" s="16" t="s">
        <v>1</v>
      </c>
      <c r="E78" s="76">
        <f t="shared" si="5"/>
        <v>15497.999999999998</v>
      </c>
      <c r="F78" s="77">
        <f>34.44*G2</f>
        <v>12398.4</v>
      </c>
      <c r="G78" s="45"/>
      <c r="H78" s="24"/>
      <c r="I78" s="48"/>
    </row>
    <row r="79" spans="1:11" ht="29.25" customHeight="1">
      <c r="A79" s="699" t="s">
        <v>235</v>
      </c>
      <c r="B79" s="700"/>
      <c r="C79" s="73" t="s">
        <v>221</v>
      </c>
      <c r="D79" s="16" t="s">
        <v>1</v>
      </c>
      <c r="E79" s="76">
        <f t="shared" si="5"/>
        <v>17955</v>
      </c>
      <c r="F79" s="77">
        <f>39.9*G2</f>
        <v>14364</v>
      </c>
      <c r="G79" s="45"/>
      <c r="H79" s="24"/>
      <c r="I79" s="48"/>
    </row>
    <row r="80" spans="1:11" ht="29.25" customHeight="1">
      <c r="A80" s="701" t="s">
        <v>222</v>
      </c>
      <c r="B80" s="702"/>
      <c r="C80" s="73" t="s">
        <v>249</v>
      </c>
      <c r="D80" s="16" t="s">
        <v>1</v>
      </c>
      <c r="E80" s="76">
        <f t="shared" si="5"/>
        <v>3874.4999999999995</v>
      </c>
      <c r="F80" s="77">
        <f>8.61*G2</f>
        <v>3099.6</v>
      </c>
      <c r="G80" s="98"/>
      <c r="H80" s="24"/>
      <c r="I80" s="48"/>
    </row>
    <row r="81" spans="1:10" ht="30.75" customHeight="1">
      <c r="A81" s="701" t="s">
        <v>223</v>
      </c>
      <c r="B81" s="702"/>
      <c r="C81" s="73" t="s">
        <v>248</v>
      </c>
      <c r="D81" s="16" t="s">
        <v>1</v>
      </c>
      <c r="E81" s="76">
        <f t="shared" si="5"/>
        <v>3271.4999999999995</v>
      </c>
      <c r="F81" s="77">
        <f>7.27*G2</f>
        <v>2617.1999999999998</v>
      </c>
      <c r="G81" s="98"/>
      <c r="H81" s="24">
        <v>3800</v>
      </c>
      <c r="I81" s="48">
        <f t="shared" si="1"/>
        <v>20.43010752688172</v>
      </c>
      <c r="J81" s="3">
        <f t="shared" si="0"/>
        <v>5230.1075268817203</v>
      </c>
    </row>
    <row r="82" spans="1:10" ht="25.5" customHeight="1">
      <c r="A82" s="691" t="s">
        <v>78</v>
      </c>
      <c r="B82" s="692"/>
      <c r="C82" s="692"/>
      <c r="D82" s="692"/>
      <c r="E82" s="692"/>
      <c r="F82" s="692"/>
      <c r="G82" s="693"/>
      <c r="H82" s="52"/>
      <c r="I82" s="48">
        <f t="shared" si="1"/>
        <v>0</v>
      </c>
      <c r="J82" s="3">
        <f t="shared" si="0"/>
        <v>0</v>
      </c>
    </row>
    <row r="83" spans="1:10" ht="28.5" customHeight="1">
      <c r="A83" s="701" t="s">
        <v>201</v>
      </c>
      <c r="B83" s="702"/>
      <c r="C83" s="65" t="s">
        <v>220</v>
      </c>
      <c r="D83" s="45" t="s">
        <v>1</v>
      </c>
      <c r="E83" s="57">
        <f t="shared" ref="E83:E88" si="6">F83/0.8</f>
        <v>17271</v>
      </c>
      <c r="F83" s="57">
        <f>38.38*G2</f>
        <v>13816.800000000001</v>
      </c>
      <c r="G83" s="109"/>
      <c r="H83" s="52"/>
      <c r="I83" s="48"/>
    </row>
    <row r="84" spans="1:10" ht="28.5" customHeight="1">
      <c r="A84" s="688" t="s">
        <v>219</v>
      </c>
      <c r="B84" s="689"/>
      <c r="C84" s="66" t="s">
        <v>90</v>
      </c>
      <c r="D84" s="20" t="s">
        <v>1</v>
      </c>
      <c r="E84" s="68">
        <f t="shared" si="6"/>
        <v>13684.5</v>
      </c>
      <c r="F84" s="69">
        <f>30.41*G2</f>
        <v>10947.6</v>
      </c>
      <c r="G84" s="16"/>
      <c r="H84" s="23">
        <v>6990</v>
      </c>
      <c r="I84" s="48">
        <f t="shared" si="1"/>
        <v>37.58064516129032</v>
      </c>
      <c r="J84" s="3">
        <f t="shared" si="0"/>
        <v>9620.645161290322</v>
      </c>
    </row>
    <row r="85" spans="1:10" ht="28.5" customHeight="1">
      <c r="A85" s="688" t="s">
        <v>182</v>
      </c>
      <c r="B85" s="689"/>
      <c r="C85" s="66" t="s">
        <v>89</v>
      </c>
      <c r="D85" s="20" t="s">
        <v>1</v>
      </c>
      <c r="E85" s="68">
        <f t="shared" si="6"/>
        <v>15646.5</v>
      </c>
      <c r="F85" s="69">
        <f>34.77*G2</f>
        <v>12517.2</v>
      </c>
      <c r="G85" s="16"/>
      <c r="H85" s="23">
        <v>7990</v>
      </c>
      <c r="I85" s="48">
        <f t="shared" si="1"/>
        <v>42.956989247311824</v>
      </c>
      <c r="J85" s="3">
        <f t="shared" si="0"/>
        <v>10996.989247311827</v>
      </c>
    </row>
    <row r="86" spans="1:10" ht="28.5" customHeight="1">
      <c r="A86" s="688" t="s">
        <v>175</v>
      </c>
      <c r="B86" s="689"/>
      <c r="C86" s="66" t="s">
        <v>90</v>
      </c>
      <c r="D86" s="20" t="s">
        <v>1</v>
      </c>
      <c r="E86" s="68">
        <f t="shared" si="6"/>
        <v>13000.499999999998</v>
      </c>
      <c r="F86" s="69">
        <f>28.89*G2</f>
        <v>10400.4</v>
      </c>
      <c r="G86" s="16"/>
      <c r="H86" s="107"/>
      <c r="I86" s="48">
        <f t="shared" si="1"/>
        <v>0</v>
      </c>
      <c r="J86" s="3">
        <f t="shared" si="0"/>
        <v>0</v>
      </c>
    </row>
    <row r="87" spans="1:10" ht="28.5" customHeight="1">
      <c r="A87" s="688" t="s">
        <v>176</v>
      </c>
      <c r="B87" s="689"/>
      <c r="C87" s="66" t="s">
        <v>89</v>
      </c>
      <c r="D87" s="20" t="s">
        <v>1</v>
      </c>
      <c r="E87" s="68">
        <f t="shared" si="6"/>
        <v>14863.5</v>
      </c>
      <c r="F87" s="69">
        <f>33.03*G2</f>
        <v>11890.800000000001</v>
      </c>
      <c r="G87" s="16"/>
      <c r="H87" s="107"/>
      <c r="I87" s="48">
        <f t="shared" si="1"/>
        <v>0</v>
      </c>
      <c r="J87" s="3">
        <f t="shared" si="0"/>
        <v>0</v>
      </c>
    </row>
    <row r="88" spans="1:10" ht="28.5" customHeight="1">
      <c r="A88" s="688" t="s">
        <v>177</v>
      </c>
      <c r="B88" s="689"/>
      <c r="C88" s="66" t="s">
        <v>178</v>
      </c>
      <c r="D88" s="20" t="s">
        <v>1</v>
      </c>
      <c r="E88" s="68">
        <f t="shared" si="6"/>
        <v>17603.999999999996</v>
      </c>
      <c r="F88" s="69">
        <f>39.12*G2</f>
        <v>14083.199999999999</v>
      </c>
      <c r="G88" s="16"/>
      <c r="H88" s="107"/>
      <c r="I88" s="48">
        <f t="shared" si="1"/>
        <v>0</v>
      </c>
      <c r="J88" s="3">
        <f t="shared" si="0"/>
        <v>0</v>
      </c>
    </row>
    <row r="89" spans="1:10" ht="27" customHeight="1">
      <c r="A89" s="691" t="s">
        <v>91</v>
      </c>
      <c r="B89" s="696"/>
      <c r="C89" s="696"/>
      <c r="D89" s="696"/>
      <c r="E89" s="696"/>
      <c r="F89" s="696"/>
      <c r="G89" s="697"/>
      <c r="H89" s="55"/>
      <c r="I89" s="48">
        <f t="shared" si="1"/>
        <v>0</v>
      </c>
      <c r="J89" s="3">
        <f t="shared" si="0"/>
        <v>0</v>
      </c>
    </row>
    <row r="90" spans="1:10" ht="30" customHeight="1">
      <c r="A90" s="688" t="s">
        <v>8</v>
      </c>
      <c r="B90" s="689"/>
      <c r="C90" s="22" t="s">
        <v>210</v>
      </c>
      <c r="D90" s="20" t="s">
        <v>1</v>
      </c>
      <c r="E90" s="70">
        <f>F90/0.8</f>
        <v>47700</v>
      </c>
      <c r="F90" s="67">
        <f>106*G2</f>
        <v>38160</v>
      </c>
      <c r="G90" s="89"/>
      <c r="H90" s="23">
        <v>21645</v>
      </c>
      <c r="I90" s="48">
        <f t="shared" si="1"/>
        <v>116.37096774193549</v>
      </c>
      <c r="J90" s="3">
        <f t="shared" si="0"/>
        <v>29790.967741935485</v>
      </c>
    </row>
    <row r="91" spans="1:10" ht="25.5" customHeight="1">
      <c r="A91" s="691" t="s">
        <v>79</v>
      </c>
      <c r="B91" s="692"/>
      <c r="C91" s="692"/>
      <c r="D91" s="692"/>
      <c r="E91" s="692"/>
      <c r="F91" s="692"/>
      <c r="G91" s="693"/>
      <c r="H91" s="52"/>
      <c r="I91" s="48">
        <f t="shared" si="1"/>
        <v>0</v>
      </c>
      <c r="J91" s="3">
        <f t="shared" si="0"/>
        <v>0</v>
      </c>
    </row>
    <row r="92" spans="1:10" ht="21" customHeight="1">
      <c r="A92" s="688" t="s">
        <v>99</v>
      </c>
      <c r="B92" s="689"/>
      <c r="C92" s="22" t="s">
        <v>211</v>
      </c>
      <c r="D92" s="4" t="s">
        <v>1</v>
      </c>
      <c r="E92" s="70">
        <f>F92/0.8</f>
        <v>43537.5</v>
      </c>
      <c r="F92" s="67">
        <f>96.75*G2</f>
        <v>34830</v>
      </c>
      <c r="G92" s="89"/>
      <c r="H92" s="23">
        <v>19900</v>
      </c>
      <c r="I92" s="48">
        <f t="shared" si="1"/>
        <v>106.98924731182795</v>
      </c>
      <c r="J92" s="3">
        <f t="shared" si="0"/>
        <v>27389.247311827956</v>
      </c>
    </row>
    <row r="93" spans="1:10" ht="21" customHeight="1">
      <c r="A93" s="688" t="s">
        <v>100</v>
      </c>
      <c r="B93" s="689"/>
      <c r="C93" s="22" t="s">
        <v>212</v>
      </c>
      <c r="D93" s="4" t="s">
        <v>1</v>
      </c>
      <c r="E93" s="70">
        <f t="shared" ref="E93:E98" si="7">F93/0.8</f>
        <v>52285.5</v>
      </c>
      <c r="F93" s="67">
        <f>116.19*G2</f>
        <v>41828.400000000001</v>
      </c>
      <c r="G93" s="89"/>
      <c r="H93" s="23">
        <v>23900</v>
      </c>
      <c r="I93" s="48">
        <f t="shared" si="1"/>
        <v>128.49462365591398</v>
      </c>
      <c r="J93" s="3">
        <f t="shared" si="0"/>
        <v>32894.62365591398</v>
      </c>
    </row>
    <row r="94" spans="1:10" ht="21" customHeight="1">
      <c r="A94" s="688" t="s">
        <v>9</v>
      </c>
      <c r="B94" s="689"/>
      <c r="C94" s="22" t="s">
        <v>213</v>
      </c>
      <c r="D94" s="4" t="s">
        <v>1</v>
      </c>
      <c r="E94" s="70">
        <f t="shared" si="7"/>
        <v>64530</v>
      </c>
      <c r="F94" s="67">
        <f>143.4*G2</f>
        <v>51624</v>
      </c>
      <c r="G94" s="89"/>
      <c r="H94" s="23">
        <v>29500</v>
      </c>
      <c r="I94" s="48">
        <f t="shared" si="1"/>
        <v>158.6021505376344</v>
      </c>
      <c r="J94" s="3">
        <f t="shared" si="0"/>
        <v>40602.150537634407</v>
      </c>
    </row>
    <row r="95" spans="1:10" ht="21" customHeight="1">
      <c r="A95" s="688" t="s">
        <v>102</v>
      </c>
      <c r="B95" s="689"/>
      <c r="C95" s="22" t="s">
        <v>214</v>
      </c>
      <c r="D95" s="4" t="s">
        <v>1</v>
      </c>
      <c r="E95" s="70">
        <f t="shared" si="7"/>
        <v>78322.5</v>
      </c>
      <c r="F95" s="67">
        <f>174.05*G2</f>
        <v>62658.000000000007</v>
      </c>
      <c r="G95" s="89"/>
      <c r="H95" s="23">
        <v>35800</v>
      </c>
      <c r="I95" s="48">
        <f t="shared" si="1"/>
        <v>192.47311827956989</v>
      </c>
      <c r="J95" s="3">
        <f t="shared" si="0"/>
        <v>49273.118279569891</v>
      </c>
    </row>
    <row r="96" spans="1:10" ht="21" customHeight="1">
      <c r="A96" s="688" t="s">
        <v>101</v>
      </c>
      <c r="B96" s="689"/>
      <c r="C96" s="22" t="s">
        <v>215</v>
      </c>
      <c r="D96" s="4" t="s">
        <v>1</v>
      </c>
      <c r="E96" s="70">
        <f t="shared" si="7"/>
        <v>93622.5</v>
      </c>
      <c r="F96" s="67">
        <f>208.05*G2</f>
        <v>74898</v>
      </c>
      <c r="G96" s="89"/>
      <c r="H96" s="23">
        <v>42800</v>
      </c>
      <c r="I96" s="48">
        <f t="shared" si="1"/>
        <v>230.10752688172042</v>
      </c>
      <c r="J96" s="3">
        <f t="shared" si="0"/>
        <v>58907.526881720427</v>
      </c>
    </row>
    <row r="97" spans="1:10" ht="21" customHeight="1">
      <c r="A97" s="688" t="s">
        <v>76</v>
      </c>
      <c r="B97" s="689"/>
      <c r="C97" s="22" t="s">
        <v>216</v>
      </c>
      <c r="D97" s="4" t="s">
        <v>1</v>
      </c>
      <c r="E97" s="70">
        <f t="shared" si="7"/>
        <v>120109.5</v>
      </c>
      <c r="F97" s="67">
        <f>266.91*G2</f>
        <v>96087.6</v>
      </c>
      <c r="G97" s="16"/>
      <c r="H97" s="23">
        <v>54900</v>
      </c>
      <c r="I97" s="48">
        <f t="shared" si="1"/>
        <v>295.16129032258067</v>
      </c>
      <c r="J97" s="3">
        <f>I97*256</f>
        <v>75561.290322580651</v>
      </c>
    </row>
    <row r="98" spans="1:10" ht="21" customHeight="1">
      <c r="A98" s="688" t="s">
        <v>77</v>
      </c>
      <c r="B98" s="689"/>
      <c r="C98" s="22" t="s">
        <v>217</v>
      </c>
      <c r="D98" s="4" t="s">
        <v>1</v>
      </c>
      <c r="E98" s="70">
        <f t="shared" si="7"/>
        <v>133209</v>
      </c>
      <c r="F98" s="67">
        <f>296.02*G2</f>
        <v>106567.2</v>
      </c>
      <c r="G98" s="16"/>
      <c r="H98" s="23">
        <v>60900</v>
      </c>
      <c r="I98" s="48">
        <f t="shared" si="1"/>
        <v>327.41935483870969</v>
      </c>
      <c r="J98" s="3">
        <f>I98*256</f>
        <v>83819.354838709682</v>
      </c>
    </row>
    <row r="99" spans="1:10" ht="18">
      <c r="A99" s="724" t="s">
        <v>103</v>
      </c>
      <c r="B99" s="725"/>
      <c r="C99" s="725"/>
      <c r="D99" s="725"/>
      <c r="E99" s="725"/>
      <c r="F99" s="725"/>
      <c r="G99" s="726"/>
      <c r="H99" s="52"/>
      <c r="I99" s="48">
        <f>H99/186</f>
        <v>0</v>
      </c>
      <c r="J99" s="3">
        <f>I99*256</f>
        <v>0</v>
      </c>
    </row>
    <row r="100" spans="1:10" ht="23.25" customHeight="1">
      <c r="A100" s="694" t="s">
        <v>250</v>
      </c>
      <c r="B100" s="711"/>
      <c r="C100" s="99" t="s">
        <v>290</v>
      </c>
      <c r="D100" s="100" t="s">
        <v>1</v>
      </c>
      <c r="E100" s="101">
        <f t="shared" ref="E100:E105" si="8">F100/0.8</f>
        <v>8716.5</v>
      </c>
      <c r="F100" s="102">
        <f>19.37*G2</f>
        <v>6973.2000000000007</v>
      </c>
      <c r="G100" s="103" t="s">
        <v>288</v>
      </c>
      <c r="H100" s="52"/>
      <c r="I100" s="48"/>
    </row>
    <row r="101" spans="1:10" ht="23.25" customHeight="1">
      <c r="A101" s="694" t="s">
        <v>255</v>
      </c>
      <c r="B101" s="711"/>
      <c r="C101" s="99" t="s">
        <v>218</v>
      </c>
      <c r="D101" s="100" t="s">
        <v>1</v>
      </c>
      <c r="E101" s="101">
        <f t="shared" si="8"/>
        <v>9814.4999999999982</v>
      </c>
      <c r="F101" s="102">
        <f>21.81*G2</f>
        <v>7851.5999999999995</v>
      </c>
      <c r="G101" s="103" t="s">
        <v>288</v>
      </c>
      <c r="H101" s="23">
        <v>7500</v>
      </c>
      <c r="I101" s="48">
        <f>H101/186</f>
        <v>40.322580645161288</v>
      </c>
      <c r="J101" s="3">
        <f>I101*256</f>
        <v>10322.58064516129</v>
      </c>
    </row>
    <row r="102" spans="1:10" ht="23.25" customHeight="1">
      <c r="A102" s="694" t="s">
        <v>251</v>
      </c>
      <c r="B102" s="711"/>
      <c r="C102" s="99" t="s">
        <v>256</v>
      </c>
      <c r="D102" s="100" t="s">
        <v>1</v>
      </c>
      <c r="E102" s="101">
        <f t="shared" si="8"/>
        <v>10813.5</v>
      </c>
      <c r="F102" s="102">
        <f>24.03*G2</f>
        <v>8650.8000000000011</v>
      </c>
      <c r="G102" s="103" t="s">
        <v>288</v>
      </c>
      <c r="H102" s="72"/>
      <c r="I102" s="48"/>
    </row>
    <row r="103" spans="1:10" ht="23.25" customHeight="1">
      <c r="A103" s="694" t="s">
        <v>252</v>
      </c>
      <c r="B103" s="711"/>
      <c r="C103" s="99" t="s">
        <v>262</v>
      </c>
      <c r="D103" s="100" t="s">
        <v>1</v>
      </c>
      <c r="E103" s="101">
        <f t="shared" si="8"/>
        <v>10921.5</v>
      </c>
      <c r="F103" s="102">
        <f>24.27*G2</f>
        <v>8737.2000000000007</v>
      </c>
      <c r="G103" s="103" t="s">
        <v>288</v>
      </c>
      <c r="H103" s="72"/>
      <c r="I103" s="48"/>
    </row>
    <row r="104" spans="1:10" ht="23.25" customHeight="1">
      <c r="A104" s="694" t="s">
        <v>253</v>
      </c>
      <c r="B104" s="711"/>
      <c r="C104" s="99" t="s">
        <v>257</v>
      </c>
      <c r="D104" s="100" t="s">
        <v>1</v>
      </c>
      <c r="E104" s="101">
        <f t="shared" si="8"/>
        <v>11974.5</v>
      </c>
      <c r="F104" s="102">
        <f>26.61*G2</f>
        <v>9579.6</v>
      </c>
      <c r="G104" s="103" t="s">
        <v>288</v>
      </c>
      <c r="H104" s="72"/>
      <c r="I104" s="48"/>
    </row>
    <row r="105" spans="1:10" ht="23.25" customHeight="1">
      <c r="A105" s="694" t="s">
        <v>254</v>
      </c>
      <c r="B105" s="711"/>
      <c r="C105" s="99" t="s">
        <v>263</v>
      </c>
      <c r="D105" s="100" t="s">
        <v>1</v>
      </c>
      <c r="E105" s="101">
        <f t="shared" si="8"/>
        <v>13630.499999999998</v>
      </c>
      <c r="F105" s="102">
        <f>30.29*G2</f>
        <v>10904.4</v>
      </c>
      <c r="G105" s="103" t="s">
        <v>288</v>
      </c>
      <c r="H105" s="72"/>
      <c r="I105" s="48"/>
    </row>
  </sheetData>
  <mergeCells count="107">
    <mergeCell ref="A9:G9"/>
    <mergeCell ref="A10:B10"/>
    <mergeCell ref="A11:G11"/>
    <mergeCell ref="A12:B12"/>
    <mergeCell ref="A13:B13"/>
    <mergeCell ref="A14:B14"/>
    <mergeCell ref="A1:F1"/>
    <mergeCell ref="D4:F4"/>
    <mergeCell ref="A5:B5"/>
    <mergeCell ref="A6:J6"/>
    <mergeCell ref="A7:B7"/>
    <mergeCell ref="A8:B8"/>
    <mergeCell ref="A21:B21"/>
    <mergeCell ref="A22:B22"/>
    <mergeCell ref="A23:B23"/>
    <mergeCell ref="A24:B24"/>
    <mergeCell ref="A25:B25"/>
    <mergeCell ref="A26:B26"/>
    <mergeCell ref="A15:B15"/>
    <mergeCell ref="A16:G16"/>
    <mergeCell ref="A17:B17"/>
    <mergeCell ref="A18:B18"/>
    <mergeCell ref="A19:B19"/>
    <mergeCell ref="A20:B2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C47:C48"/>
    <mergeCell ref="A48:B48"/>
    <mergeCell ref="A49:B49"/>
    <mergeCell ref="A39:B39"/>
    <mergeCell ref="A40:G40"/>
    <mergeCell ref="A41:B41"/>
    <mergeCell ref="A42:G42"/>
    <mergeCell ref="A43:B43"/>
    <mergeCell ref="C43:C44"/>
    <mergeCell ref="G43:G44"/>
    <mergeCell ref="A44:B44"/>
    <mergeCell ref="A55:G55"/>
    <mergeCell ref="A56:G56"/>
    <mergeCell ref="A57:B57"/>
    <mergeCell ref="A58:B58"/>
    <mergeCell ref="A59:B59"/>
    <mergeCell ref="A60:B60"/>
    <mergeCell ref="A50:B50"/>
    <mergeCell ref="C50:C51"/>
    <mergeCell ref="A51:B51"/>
    <mergeCell ref="A52:B52"/>
    <mergeCell ref="A53:B53"/>
    <mergeCell ref="A54:B54"/>
    <mergeCell ref="A67:G67"/>
    <mergeCell ref="A68:B68"/>
    <mergeCell ref="A69:B69"/>
    <mergeCell ref="A70:G70"/>
    <mergeCell ref="A71:B71"/>
    <mergeCell ref="A72:G72"/>
    <mergeCell ref="A61:B61"/>
    <mergeCell ref="A62:B62"/>
    <mergeCell ref="A63:G63"/>
    <mergeCell ref="A64:G64"/>
    <mergeCell ref="A65:B65"/>
    <mergeCell ref="A66:B66"/>
    <mergeCell ref="A79:B79"/>
    <mergeCell ref="A80:B80"/>
    <mergeCell ref="A81:B81"/>
    <mergeCell ref="A82:G82"/>
    <mergeCell ref="A83:B83"/>
    <mergeCell ref="A84:B84"/>
    <mergeCell ref="A73:B73"/>
    <mergeCell ref="A74:B74"/>
    <mergeCell ref="A75:G75"/>
    <mergeCell ref="A76:B76"/>
    <mergeCell ref="A77:B77"/>
    <mergeCell ref="A78:B78"/>
    <mergeCell ref="A91:G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G89"/>
    <mergeCell ref="A90:B90"/>
    <mergeCell ref="A103:B103"/>
    <mergeCell ref="A104:B104"/>
    <mergeCell ref="A105:B105"/>
    <mergeCell ref="A97:B97"/>
    <mergeCell ref="A98:B98"/>
    <mergeCell ref="A99:G99"/>
    <mergeCell ref="A100:B100"/>
    <mergeCell ref="A101:B101"/>
    <mergeCell ref="A102:B102"/>
  </mergeCells>
  <hyperlinks>
    <hyperlink ref="B4" r:id="rId1" display="www.almacom.info  E-mail:almacom@inbox,ru"/>
  </hyperlinks>
  <pageMargins left="0.59055118110236227" right="0.43307086614173229" top="0.39370078740157483" bottom="0.11811023622047245" header="0.19685039370078741" footer="0.15748031496062992"/>
  <pageSetup paperSize="9" scale="56" orientation="portrait" horizontalDpi="300" verticalDpi="1200" r:id="rId2"/>
  <rowBreaks count="2" manualBreakCount="2">
    <brk id="28" max="6" man="1"/>
    <brk id="54" max="6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topLeftCell="A7" workbookViewId="0">
      <selection activeCell="A3" sqref="A3:XFD3"/>
    </sheetView>
  </sheetViews>
  <sheetFormatPr defaultRowHeight="12.75"/>
  <cols>
    <col min="1" max="1" width="19.7109375" customWidth="1"/>
    <col min="2" max="2" width="45.28515625" customWidth="1"/>
    <col min="3" max="3" width="4.28515625" customWidth="1"/>
    <col min="4" max="4" width="9.28515625" customWidth="1"/>
    <col min="5" max="5" width="9.28515625" hidden="1" customWidth="1"/>
    <col min="6" max="6" width="9.7109375" style="172" customWidth="1"/>
    <col min="7" max="7" width="10.140625" bestFit="1" customWidth="1"/>
    <col min="9" max="9" width="16.42578125" customWidth="1"/>
  </cols>
  <sheetData>
    <row r="1" spans="1:7" ht="23.25">
      <c r="A1" s="753" t="s">
        <v>105</v>
      </c>
      <c r="B1" s="753"/>
      <c r="C1" s="753"/>
      <c r="D1" s="753"/>
      <c r="E1" s="753"/>
      <c r="F1" s="167" t="s">
        <v>865</v>
      </c>
    </row>
    <row r="2" spans="1:7">
      <c r="A2" s="754" t="s">
        <v>682</v>
      </c>
      <c r="B2" s="754"/>
      <c r="C2" s="754"/>
      <c r="D2" s="754"/>
      <c r="E2" s="754"/>
      <c r="F2" s="171"/>
    </row>
    <row r="3" spans="1:7" ht="36.6" customHeight="1" thickBot="1">
      <c r="A3" s="133" t="s">
        <v>2</v>
      </c>
      <c r="B3" s="174" t="s">
        <v>0</v>
      </c>
      <c r="C3" s="175" t="s">
        <v>5</v>
      </c>
      <c r="D3" s="176" t="s">
        <v>872</v>
      </c>
      <c r="E3" s="176" t="s">
        <v>43</v>
      </c>
      <c r="F3" s="168" t="s">
        <v>167</v>
      </c>
    </row>
    <row r="4" spans="1:7" ht="16.149999999999999" customHeight="1" thickBot="1">
      <c r="A4" s="755" t="s">
        <v>516</v>
      </c>
      <c r="B4" s="756"/>
      <c r="C4" s="756"/>
      <c r="D4" s="756"/>
      <c r="E4" s="756"/>
      <c r="F4" s="757"/>
    </row>
    <row r="5" spans="1:7">
      <c r="A5" s="147" t="s">
        <v>502</v>
      </c>
      <c r="B5" s="145" t="s">
        <v>503</v>
      </c>
      <c r="C5" s="143" t="s">
        <v>1</v>
      </c>
      <c r="D5" s="146">
        <f>E5*1.25</f>
        <v>19400</v>
      </c>
      <c r="E5" s="146">
        <v>15520</v>
      </c>
      <c r="F5" s="169"/>
    </row>
    <row r="6" spans="1:7">
      <c r="A6" s="177" t="s">
        <v>504</v>
      </c>
      <c r="B6" s="111" t="s">
        <v>505</v>
      </c>
      <c r="C6" s="114" t="s">
        <v>1</v>
      </c>
      <c r="D6" s="146">
        <f>E6*1.25</f>
        <v>23072.5</v>
      </c>
      <c r="E6" s="121">
        <v>18458</v>
      </c>
      <c r="F6" s="170"/>
    </row>
    <row r="7" spans="1:7" ht="13.5" thickBot="1">
      <c r="A7" s="139" t="s">
        <v>506</v>
      </c>
      <c r="B7" s="136" t="s">
        <v>507</v>
      </c>
      <c r="C7" s="134" t="s">
        <v>1</v>
      </c>
      <c r="D7" s="146">
        <f>E7*1.25</f>
        <v>26215</v>
      </c>
      <c r="E7" s="137">
        <v>20972</v>
      </c>
      <c r="F7" s="168"/>
    </row>
    <row r="8" spans="1:7" ht="13.5" thickBot="1">
      <c r="A8" s="759" t="s">
        <v>291</v>
      </c>
      <c r="B8" s="760"/>
      <c r="C8" s="760"/>
      <c r="D8" s="760"/>
      <c r="E8" s="760"/>
      <c r="F8" s="761"/>
    </row>
    <row r="9" spans="1:7" ht="58.5">
      <c r="A9" s="448" t="s">
        <v>523</v>
      </c>
      <c r="B9" s="261" t="s">
        <v>800</v>
      </c>
      <c r="C9" s="255" t="s">
        <v>1</v>
      </c>
      <c r="D9" s="216">
        <f>E9*1.2</f>
        <v>38438.400000000001</v>
      </c>
      <c r="E9" s="216">
        <v>32032</v>
      </c>
      <c r="F9" s="206"/>
    </row>
    <row r="10" spans="1:7" ht="58.5">
      <c r="A10" s="445" t="s">
        <v>157</v>
      </c>
      <c r="B10" s="262" t="s">
        <v>801</v>
      </c>
      <c r="C10" s="115" t="s">
        <v>1</v>
      </c>
      <c r="D10" s="35">
        <f>E10*1.2</f>
        <v>47400</v>
      </c>
      <c r="E10" s="35">
        <v>39500</v>
      </c>
      <c r="F10" s="201"/>
      <c r="G10" s="373"/>
    </row>
    <row r="11" spans="1:7" ht="58.5">
      <c r="A11" s="365" t="s">
        <v>524</v>
      </c>
      <c r="B11" s="412" t="s">
        <v>802</v>
      </c>
      <c r="C11" s="367" t="s">
        <v>1</v>
      </c>
      <c r="D11" s="362">
        <v>56456</v>
      </c>
      <c r="E11" s="362">
        <v>50810</v>
      </c>
      <c r="F11" s="468" t="s">
        <v>702</v>
      </c>
    </row>
    <row r="12" spans="1:7" ht="58.5">
      <c r="A12" s="445" t="s">
        <v>556</v>
      </c>
      <c r="B12" s="262" t="s">
        <v>803</v>
      </c>
      <c r="C12" s="115" t="s">
        <v>1</v>
      </c>
      <c r="D12" s="35">
        <f>E12*1.2</f>
        <v>80196</v>
      </c>
      <c r="E12" s="35">
        <v>66830</v>
      </c>
      <c r="F12" s="207"/>
    </row>
    <row r="13" spans="1:7" ht="58.5">
      <c r="A13" s="445" t="s">
        <v>557</v>
      </c>
      <c r="B13" s="262" t="s">
        <v>804</v>
      </c>
      <c r="C13" s="115" t="s">
        <v>1</v>
      </c>
      <c r="D13" s="35">
        <f>E13*1.2</f>
        <v>134350.79999999999</v>
      </c>
      <c r="E13" s="35">
        <v>111959</v>
      </c>
      <c r="F13" s="207"/>
    </row>
    <row r="14" spans="1:7" ht="59.25" thickBot="1">
      <c r="A14" s="446" t="s">
        <v>558</v>
      </c>
      <c r="B14" s="263" t="s">
        <v>805</v>
      </c>
      <c r="C14" s="115" t="s">
        <v>1</v>
      </c>
      <c r="D14" s="217">
        <f>E14*1.2</f>
        <v>100785.59999999999</v>
      </c>
      <c r="E14" s="217">
        <v>83988</v>
      </c>
      <c r="F14" s="247"/>
    </row>
    <row r="15" spans="1:7" ht="13.5" thickBot="1">
      <c r="A15" s="762" t="s">
        <v>292</v>
      </c>
      <c r="B15" s="763"/>
      <c r="C15" s="763"/>
      <c r="D15" s="763"/>
      <c r="E15" s="763"/>
      <c r="F15" s="764"/>
    </row>
    <row r="16" spans="1:7" ht="58.5" customHeight="1">
      <c r="A16" s="388" t="s">
        <v>158</v>
      </c>
      <c r="B16" s="264" t="s">
        <v>806</v>
      </c>
      <c r="C16" s="149" t="s">
        <v>1</v>
      </c>
      <c r="D16" s="150">
        <f>E16*1.2</f>
        <v>68313.599999999991</v>
      </c>
      <c r="E16" s="150">
        <v>56928</v>
      </c>
      <c r="F16" s="399" t="s">
        <v>863</v>
      </c>
    </row>
    <row r="17" spans="1:8" ht="58.5" customHeight="1">
      <c r="A17" s="387" t="s">
        <v>159</v>
      </c>
      <c r="B17" s="262" t="s">
        <v>807</v>
      </c>
      <c r="C17" s="115" t="s">
        <v>1</v>
      </c>
      <c r="D17" s="150">
        <f>E17*1.2</f>
        <v>76220.399999999994</v>
      </c>
      <c r="E17" s="35">
        <v>63517</v>
      </c>
      <c r="F17" s="399" t="s">
        <v>863</v>
      </c>
    </row>
    <row r="18" spans="1:8" ht="58.5" customHeight="1">
      <c r="A18" s="387" t="s">
        <v>160</v>
      </c>
      <c r="B18" s="262" t="s">
        <v>808</v>
      </c>
      <c r="C18" s="115" t="s">
        <v>1</v>
      </c>
      <c r="D18" s="150">
        <f>E18*1.2</f>
        <v>80792.399999999994</v>
      </c>
      <c r="E18" s="35">
        <v>67327</v>
      </c>
      <c r="F18" s="399" t="s">
        <v>863</v>
      </c>
    </row>
    <row r="19" spans="1:8" ht="58.5" customHeight="1">
      <c r="A19" s="445" t="s">
        <v>559</v>
      </c>
      <c r="B19" s="262" t="s">
        <v>809</v>
      </c>
      <c r="C19" s="115" t="s">
        <v>1</v>
      </c>
      <c r="D19" s="150">
        <f>E19*1.2</f>
        <v>98131.199999999997</v>
      </c>
      <c r="E19" s="35">
        <v>81776</v>
      </c>
      <c r="F19" s="201"/>
    </row>
    <row r="20" spans="1:8" ht="58.5" customHeight="1">
      <c r="A20" s="445" t="s">
        <v>569</v>
      </c>
      <c r="B20" s="262" t="s">
        <v>810</v>
      </c>
      <c r="C20" s="115" t="s">
        <v>1</v>
      </c>
      <c r="D20" s="150">
        <f>E20*1.2</f>
        <v>138694.79999999999</v>
      </c>
      <c r="E20" s="35">
        <v>115579</v>
      </c>
      <c r="F20" s="201"/>
    </row>
    <row r="21" spans="1:8" ht="58.5" customHeight="1">
      <c r="A21" s="445" t="s">
        <v>584</v>
      </c>
      <c r="B21" s="262" t="s">
        <v>811</v>
      </c>
      <c r="C21" s="115" t="s">
        <v>1</v>
      </c>
      <c r="D21" s="150">
        <f>E21*1.2</f>
        <v>69288</v>
      </c>
      <c r="E21" s="35">
        <v>57740</v>
      </c>
      <c r="F21" s="201"/>
    </row>
    <row r="22" spans="1:8" ht="58.5" customHeight="1" thickBot="1">
      <c r="A22" s="447" t="s">
        <v>583</v>
      </c>
      <c r="B22" s="265" t="s">
        <v>812</v>
      </c>
      <c r="C22" s="140" t="s">
        <v>1</v>
      </c>
      <c r="D22" s="150">
        <f>E22*1.2</f>
        <v>101422.8</v>
      </c>
      <c r="E22" s="141">
        <v>84519</v>
      </c>
      <c r="F22" s="266"/>
    </row>
    <row r="23" spans="1:8" ht="13.5" thickBot="1">
      <c r="A23" s="755" t="s">
        <v>712</v>
      </c>
      <c r="B23" s="756"/>
      <c r="C23" s="756"/>
      <c r="D23" s="756"/>
      <c r="E23" s="756"/>
      <c r="F23" s="757"/>
    </row>
    <row r="24" spans="1:8" ht="20.25" customHeight="1">
      <c r="A24" s="441" t="s">
        <v>141</v>
      </c>
      <c r="B24" s="165" t="s">
        <v>574</v>
      </c>
      <c r="C24" s="143" t="s">
        <v>1</v>
      </c>
      <c r="D24" s="144">
        <f>E24*1.25</f>
        <v>9725</v>
      </c>
      <c r="E24" s="144">
        <v>7780</v>
      </c>
      <c r="F24" s="467" t="s">
        <v>521</v>
      </c>
      <c r="G24" s="352"/>
      <c r="H24" s="346"/>
    </row>
    <row r="25" spans="1:8" ht="19.5" customHeight="1">
      <c r="A25" s="441" t="s">
        <v>525</v>
      </c>
      <c r="B25" s="165" t="s">
        <v>333</v>
      </c>
      <c r="C25" s="143" t="s">
        <v>1</v>
      </c>
      <c r="D25" s="144">
        <f>E25*1.25</f>
        <v>9573.75</v>
      </c>
      <c r="E25" s="144">
        <v>7659</v>
      </c>
      <c r="F25" s="353" t="s">
        <v>861</v>
      </c>
      <c r="G25" s="352"/>
      <c r="H25" s="346"/>
    </row>
    <row r="26" spans="1:8" ht="19.5" customHeight="1">
      <c r="A26" s="441" t="s">
        <v>635</v>
      </c>
      <c r="B26" s="165" t="s">
        <v>333</v>
      </c>
      <c r="C26" s="143" t="s">
        <v>1</v>
      </c>
      <c r="D26" s="144">
        <f>E26*1.25</f>
        <v>10656.25</v>
      </c>
      <c r="E26" s="144">
        <v>8525</v>
      </c>
      <c r="F26" s="201"/>
      <c r="G26" s="352"/>
      <c r="H26" s="346"/>
    </row>
    <row r="27" spans="1:8" ht="19.5" customHeight="1">
      <c r="A27" s="441" t="s">
        <v>636</v>
      </c>
      <c r="B27" s="165" t="s">
        <v>333</v>
      </c>
      <c r="C27" s="143" t="s">
        <v>1</v>
      </c>
      <c r="D27" s="144">
        <f>E27*1.25</f>
        <v>9868.75</v>
      </c>
      <c r="E27" s="144">
        <v>7895</v>
      </c>
      <c r="F27" s="353" t="s">
        <v>862</v>
      </c>
      <c r="G27" s="352"/>
      <c r="H27" s="346"/>
    </row>
    <row r="28" spans="1:8" ht="19.5" customHeight="1">
      <c r="A28" s="440" t="s">
        <v>171</v>
      </c>
      <c r="B28" s="166" t="s">
        <v>707</v>
      </c>
      <c r="C28" s="143" t="s">
        <v>1</v>
      </c>
      <c r="D28" s="144">
        <f>E28*1.25</f>
        <v>18125</v>
      </c>
      <c r="E28" s="112">
        <v>14500</v>
      </c>
      <c r="F28" s="205"/>
      <c r="G28" s="352"/>
      <c r="H28" s="346"/>
    </row>
    <row r="29" spans="1:8" ht="19.5" customHeight="1">
      <c r="A29" s="410" t="s">
        <v>194</v>
      </c>
      <c r="B29" s="366" t="s">
        <v>708</v>
      </c>
      <c r="C29" s="411" t="s">
        <v>1</v>
      </c>
      <c r="D29" s="381">
        <v>16891</v>
      </c>
      <c r="E29" s="362">
        <v>15502</v>
      </c>
      <c r="F29" s="466" t="s">
        <v>702</v>
      </c>
      <c r="G29" s="352"/>
      <c r="H29" s="346"/>
    </row>
    <row r="30" spans="1:8" ht="19.5" customHeight="1">
      <c r="A30" s="440" t="s">
        <v>637</v>
      </c>
      <c r="B30" s="260" t="s">
        <v>707</v>
      </c>
      <c r="C30" s="143" t="s">
        <v>1</v>
      </c>
      <c r="D30" s="144">
        <f>E30*1.25</f>
        <v>19375</v>
      </c>
      <c r="E30" s="112">
        <v>15500</v>
      </c>
      <c r="F30" s="205"/>
      <c r="G30" s="352"/>
      <c r="H30" s="346"/>
    </row>
    <row r="31" spans="1:8" ht="19.5" customHeight="1">
      <c r="A31" s="440" t="s">
        <v>638</v>
      </c>
      <c r="B31" s="260" t="s">
        <v>709</v>
      </c>
      <c r="C31" s="114" t="s">
        <v>1</v>
      </c>
      <c r="D31" s="144">
        <f>E31*1.25</f>
        <v>16875</v>
      </c>
      <c r="E31" s="112">
        <v>13500</v>
      </c>
      <c r="F31" s="205" t="s">
        <v>521</v>
      </c>
      <c r="G31" s="352"/>
      <c r="H31" s="346"/>
    </row>
    <row r="32" spans="1:8" ht="19.5" customHeight="1">
      <c r="A32" s="440" t="s">
        <v>109</v>
      </c>
      <c r="B32" s="166" t="s">
        <v>710</v>
      </c>
      <c r="C32" s="114" t="s">
        <v>1</v>
      </c>
      <c r="D32" s="144">
        <f>E32*1.25</f>
        <v>27250</v>
      </c>
      <c r="E32" s="112">
        <v>21800</v>
      </c>
      <c r="F32" s="353" t="s">
        <v>861</v>
      </c>
      <c r="G32" s="346"/>
      <c r="H32" s="346"/>
    </row>
    <row r="33" spans="1:8" ht="19.5" customHeight="1">
      <c r="A33" s="440" t="s">
        <v>664</v>
      </c>
      <c r="B33" s="288" t="s">
        <v>711</v>
      </c>
      <c r="C33" s="115" t="s">
        <v>1</v>
      </c>
      <c r="D33" s="144">
        <f>E33*1.25</f>
        <v>27250</v>
      </c>
      <c r="E33" s="35">
        <v>21800</v>
      </c>
      <c r="F33" s="197"/>
      <c r="G33" s="346"/>
      <c r="H33" s="346"/>
    </row>
    <row r="34" spans="1:8" ht="19.5" customHeight="1">
      <c r="A34" s="440" t="s">
        <v>190</v>
      </c>
      <c r="B34" s="337" t="s">
        <v>711</v>
      </c>
      <c r="C34" s="115" t="s">
        <v>1</v>
      </c>
      <c r="D34" s="144">
        <f>E34*1.25</f>
        <v>30000</v>
      </c>
      <c r="E34" s="35">
        <v>24000</v>
      </c>
      <c r="F34" s="197"/>
      <c r="G34" s="346"/>
      <c r="H34" s="346"/>
    </row>
    <row r="35" spans="1:8" ht="19.5" customHeight="1">
      <c r="A35" s="440" t="s">
        <v>191</v>
      </c>
      <c r="B35" s="356" t="s">
        <v>711</v>
      </c>
      <c r="C35" s="115" t="s">
        <v>1</v>
      </c>
      <c r="D35" s="144">
        <f>E35*1.25</f>
        <v>30000</v>
      </c>
      <c r="E35" s="35">
        <v>24000</v>
      </c>
      <c r="F35" s="197"/>
      <c r="G35" s="346"/>
      <c r="H35" s="346"/>
    </row>
    <row r="36" spans="1:8" ht="19.5" customHeight="1">
      <c r="A36" s="440" t="s">
        <v>192</v>
      </c>
      <c r="B36" s="356" t="s">
        <v>711</v>
      </c>
      <c r="C36" s="115" t="s">
        <v>1</v>
      </c>
      <c r="D36" s="144">
        <f>E36*1.25</f>
        <v>30000</v>
      </c>
      <c r="E36" s="35">
        <v>24000</v>
      </c>
      <c r="F36" s="197"/>
      <c r="G36" s="346"/>
      <c r="H36" s="346"/>
    </row>
    <row r="37" spans="1:8" ht="19.5" customHeight="1">
      <c r="A37" s="440" t="s">
        <v>193</v>
      </c>
      <c r="B37" s="337" t="s">
        <v>711</v>
      </c>
      <c r="C37" s="115" t="s">
        <v>1</v>
      </c>
      <c r="D37" s="144">
        <f>E37*1.25</f>
        <v>30000</v>
      </c>
      <c r="E37" s="35">
        <v>24000</v>
      </c>
      <c r="F37" s="197"/>
      <c r="G37" s="346"/>
      <c r="H37" s="346"/>
    </row>
    <row r="38" spans="1:8" ht="19.5" customHeight="1">
      <c r="A38" s="440" t="s">
        <v>195</v>
      </c>
      <c r="B38" s="213" t="s">
        <v>711</v>
      </c>
      <c r="C38" s="114" t="s">
        <v>1</v>
      </c>
      <c r="D38" s="144">
        <f>E38*1.25</f>
        <v>29375</v>
      </c>
      <c r="E38" s="112">
        <v>23500</v>
      </c>
      <c r="F38" s="197"/>
      <c r="G38" s="346"/>
      <c r="H38" s="346"/>
    </row>
    <row r="39" spans="1:8" ht="19.5" customHeight="1">
      <c r="A39" s="440" t="s">
        <v>706</v>
      </c>
      <c r="B39" s="260" t="s">
        <v>711</v>
      </c>
      <c r="C39" s="114" t="s">
        <v>1</v>
      </c>
      <c r="D39" s="144">
        <f>E39*1.25</f>
        <v>30000</v>
      </c>
      <c r="E39" s="112">
        <v>24000</v>
      </c>
      <c r="F39" s="353"/>
      <c r="G39" s="346"/>
      <c r="H39" s="346"/>
    </row>
    <row r="40" spans="1:8" ht="19.5" customHeight="1">
      <c r="A40" s="440" t="s">
        <v>639</v>
      </c>
      <c r="B40" s="260" t="s">
        <v>644</v>
      </c>
      <c r="C40" s="114" t="s">
        <v>1</v>
      </c>
      <c r="D40" s="144">
        <f>E40*1.25</f>
        <v>24375</v>
      </c>
      <c r="E40" s="112">
        <v>19500</v>
      </c>
      <c r="F40" s="353" t="s">
        <v>862</v>
      </c>
      <c r="G40" s="346"/>
      <c r="H40" s="346"/>
    </row>
    <row r="41" spans="1:8" ht="19.5" customHeight="1">
      <c r="A41" s="440" t="s">
        <v>640</v>
      </c>
      <c r="B41" s="442" t="s">
        <v>334</v>
      </c>
      <c r="C41" s="115" t="s">
        <v>1</v>
      </c>
      <c r="D41" s="150">
        <f>E41*1.25</f>
        <v>24937.5</v>
      </c>
      <c r="E41" s="35">
        <v>19950</v>
      </c>
      <c r="F41" s="353" t="s">
        <v>521</v>
      </c>
      <c r="G41" s="346"/>
      <c r="H41" s="346"/>
    </row>
    <row r="42" spans="1:8" ht="19.5" customHeight="1">
      <c r="A42" s="440" t="s">
        <v>274</v>
      </c>
      <c r="B42" s="260" t="s">
        <v>665</v>
      </c>
      <c r="C42" s="114" t="s">
        <v>1</v>
      </c>
      <c r="D42" s="144">
        <f>E42*1.25</f>
        <v>40625</v>
      </c>
      <c r="E42" s="112">
        <v>32500</v>
      </c>
      <c r="F42" s="207"/>
      <c r="G42" s="346"/>
      <c r="H42" s="346"/>
    </row>
    <row r="43" spans="1:8" ht="19.5" customHeight="1">
      <c r="A43" s="440" t="s">
        <v>275</v>
      </c>
      <c r="B43" s="166" t="s">
        <v>646</v>
      </c>
      <c r="C43" s="114" t="s">
        <v>1</v>
      </c>
      <c r="D43" s="144">
        <f>E43*1.25</f>
        <v>40000</v>
      </c>
      <c r="E43" s="112">
        <v>32000</v>
      </c>
      <c r="F43" s="207"/>
      <c r="G43" s="346"/>
      <c r="H43" s="346"/>
    </row>
    <row r="44" spans="1:8" ht="19.5" customHeight="1">
      <c r="A44" s="440" t="s">
        <v>788</v>
      </c>
      <c r="B44" s="260" t="s">
        <v>789</v>
      </c>
      <c r="C44" s="114" t="s">
        <v>1</v>
      </c>
      <c r="D44" s="144">
        <f>E44*1.25</f>
        <v>40625</v>
      </c>
      <c r="E44" s="112">
        <v>32500</v>
      </c>
      <c r="F44" s="207"/>
      <c r="G44" s="346"/>
      <c r="H44" s="346"/>
    </row>
    <row r="45" spans="1:8" ht="19.5" customHeight="1">
      <c r="A45" s="440" t="s">
        <v>721</v>
      </c>
      <c r="B45" s="166" t="s">
        <v>665</v>
      </c>
      <c r="C45" s="114" t="s">
        <v>1</v>
      </c>
      <c r="D45" s="144">
        <f>E45*1.25</f>
        <v>42000</v>
      </c>
      <c r="E45" s="112">
        <v>33600</v>
      </c>
      <c r="F45" s="207"/>
      <c r="G45" s="346"/>
      <c r="H45" s="346"/>
    </row>
    <row r="46" spans="1:8" ht="19.5" customHeight="1">
      <c r="A46" s="440" t="s">
        <v>722</v>
      </c>
      <c r="B46" s="211" t="s">
        <v>665</v>
      </c>
      <c r="C46" s="114" t="s">
        <v>1</v>
      </c>
      <c r="D46" s="144">
        <f>E46*1.25</f>
        <v>42000</v>
      </c>
      <c r="E46" s="112">
        <v>33600</v>
      </c>
      <c r="F46" s="207"/>
      <c r="G46" s="346"/>
      <c r="H46" s="346"/>
    </row>
    <row r="47" spans="1:8" ht="19.5" customHeight="1">
      <c r="A47" s="440" t="s">
        <v>723</v>
      </c>
      <c r="B47" s="260" t="s">
        <v>665</v>
      </c>
      <c r="C47" s="114" t="s">
        <v>1</v>
      </c>
      <c r="D47" s="144">
        <f>E47*1.25</f>
        <v>42000</v>
      </c>
      <c r="E47" s="112">
        <v>33600</v>
      </c>
      <c r="F47" s="207"/>
      <c r="G47" s="346"/>
      <c r="H47" s="346"/>
    </row>
    <row r="48" spans="1:8" ht="19.5" customHeight="1">
      <c r="A48" s="440" t="s">
        <v>724</v>
      </c>
      <c r="B48" s="260" t="s">
        <v>665</v>
      </c>
      <c r="C48" s="114" t="s">
        <v>1</v>
      </c>
      <c r="D48" s="144">
        <f>E48*1.25</f>
        <v>42000</v>
      </c>
      <c r="E48" s="112">
        <v>33600</v>
      </c>
      <c r="F48" s="207"/>
      <c r="G48" s="346"/>
      <c r="H48" s="346"/>
    </row>
    <row r="49" spans="1:8" ht="19.5" customHeight="1">
      <c r="A49" s="440" t="s">
        <v>725</v>
      </c>
      <c r="B49" s="260" t="s">
        <v>665</v>
      </c>
      <c r="C49" s="114" t="s">
        <v>1</v>
      </c>
      <c r="D49" s="144">
        <f>E49*1.25</f>
        <v>42000</v>
      </c>
      <c r="E49" s="112">
        <v>33600</v>
      </c>
      <c r="F49" s="207"/>
      <c r="G49" s="346"/>
      <c r="H49" s="346"/>
    </row>
    <row r="50" spans="1:8" ht="19.5" customHeight="1">
      <c r="A50" s="440" t="s">
        <v>641</v>
      </c>
      <c r="B50" s="260" t="s">
        <v>648</v>
      </c>
      <c r="C50" s="114" t="s">
        <v>1</v>
      </c>
      <c r="D50" s="144">
        <f>E50*1.25</f>
        <v>39587.5</v>
      </c>
      <c r="E50" s="112">
        <v>31670</v>
      </c>
      <c r="F50" s="353"/>
      <c r="G50" s="346"/>
      <c r="H50" s="346"/>
    </row>
    <row r="51" spans="1:8" ht="19.5" customHeight="1">
      <c r="A51" s="440" t="s">
        <v>642</v>
      </c>
      <c r="B51" s="260" t="s">
        <v>647</v>
      </c>
      <c r="C51" s="114" t="s">
        <v>1</v>
      </c>
      <c r="D51" s="144">
        <f>E51*1.25</f>
        <v>39587.5</v>
      </c>
      <c r="E51" s="112">
        <v>31670</v>
      </c>
      <c r="F51" s="353"/>
      <c r="G51" s="346"/>
      <c r="H51" s="346"/>
    </row>
    <row r="52" spans="1:8" ht="19.5" customHeight="1">
      <c r="A52" s="440" t="s">
        <v>643</v>
      </c>
      <c r="B52" s="260" t="s">
        <v>645</v>
      </c>
      <c r="C52" s="114" t="s">
        <v>1</v>
      </c>
      <c r="D52" s="144">
        <f>E52*1.25</f>
        <v>39587.5</v>
      </c>
      <c r="E52" s="112">
        <v>31670</v>
      </c>
      <c r="F52" s="353"/>
      <c r="G52" s="346"/>
      <c r="H52" s="346"/>
    </row>
    <row r="53" spans="1:8" ht="19.5" hidden="1" customHeight="1">
      <c r="A53" s="440" t="s">
        <v>185</v>
      </c>
      <c r="B53" s="166" t="s">
        <v>392</v>
      </c>
      <c r="C53" s="114" t="s">
        <v>1</v>
      </c>
      <c r="D53" s="144">
        <f>E53*1.25</f>
        <v>51343.75</v>
      </c>
      <c r="E53" s="112">
        <v>41075</v>
      </c>
      <c r="F53" s="227" t="s">
        <v>287</v>
      </c>
      <c r="G53" s="346"/>
      <c r="H53" s="346"/>
    </row>
    <row r="54" spans="1:8" ht="19.5" hidden="1" customHeight="1">
      <c r="A54" s="440" t="s">
        <v>189</v>
      </c>
      <c r="B54" s="166" t="s">
        <v>393</v>
      </c>
      <c r="C54" s="114" t="s">
        <v>1</v>
      </c>
      <c r="D54" s="144">
        <f>E54*1.25</f>
        <v>51343.75</v>
      </c>
      <c r="E54" s="112">
        <v>41075</v>
      </c>
      <c r="F54" s="207" t="s">
        <v>287</v>
      </c>
      <c r="G54" s="346"/>
      <c r="H54" s="346"/>
    </row>
    <row r="55" spans="1:8" ht="19.5">
      <c r="A55" s="440" t="s">
        <v>280</v>
      </c>
      <c r="B55" s="166" t="s">
        <v>394</v>
      </c>
      <c r="C55" s="114" t="s">
        <v>1</v>
      </c>
      <c r="D55" s="144">
        <f>E55*1.25</f>
        <v>50000</v>
      </c>
      <c r="E55" s="112">
        <v>40000</v>
      </c>
      <c r="F55" s="353" t="s">
        <v>861</v>
      </c>
      <c r="G55" s="346"/>
      <c r="H55" s="346"/>
    </row>
    <row r="56" spans="1:8" ht="19.5">
      <c r="A56" s="440" t="s">
        <v>279</v>
      </c>
      <c r="B56" s="252" t="s">
        <v>600</v>
      </c>
      <c r="C56" s="114" t="s">
        <v>1</v>
      </c>
      <c r="D56" s="144">
        <f>E56*1.25</f>
        <v>50000</v>
      </c>
      <c r="E56" s="112">
        <v>40000</v>
      </c>
      <c r="F56" s="353"/>
      <c r="G56" s="346"/>
      <c r="H56" s="346"/>
    </row>
    <row r="57" spans="1:8" ht="19.149999999999999" customHeight="1">
      <c r="A57" s="424" t="s">
        <v>596</v>
      </c>
      <c r="B57" s="114" t="s">
        <v>598</v>
      </c>
      <c r="C57" s="114" t="s">
        <v>1</v>
      </c>
      <c r="D57" s="144">
        <f>E57*1.25</f>
        <v>3472.5</v>
      </c>
      <c r="E57" s="112">
        <v>2778</v>
      </c>
      <c r="F57" s="750" t="s">
        <v>861</v>
      </c>
      <c r="G57" s="346"/>
      <c r="H57" s="346"/>
    </row>
    <row r="58" spans="1:8" ht="13.5" thickBot="1">
      <c r="A58" s="424" t="s">
        <v>597</v>
      </c>
      <c r="B58" s="114" t="s">
        <v>599</v>
      </c>
      <c r="C58" s="114" t="s">
        <v>1</v>
      </c>
      <c r="D58" s="144">
        <f>E58*1.25</f>
        <v>3472.5</v>
      </c>
      <c r="E58" s="112">
        <v>2778</v>
      </c>
      <c r="F58" s="751"/>
      <c r="G58" s="346"/>
      <c r="H58" s="346"/>
    </row>
    <row r="59" spans="1:8" ht="13.5" thickBot="1">
      <c r="A59" s="732" t="s">
        <v>85</v>
      </c>
      <c r="B59" s="733"/>
      <c r="C59" s="733"/>
      <c r="D59" s="733"/>
      <c r="E59" s="733"/>
      <c r="F59" s="734"/>
    </row>
    <row r="60" spans="1:8" ht="48.75">
      <c r="A60" s="445" t="s">
        <v>659</v>
      </c>
      <c r="B60" s="118" t="s">
        <v>555</v>
      </c>
      <c r="C60" s="115" t="s">
        <v>1</v>
      </c>
      <c r="D60" s="35">
        <f>E60*1.25</f>
        <v>28625</v>
      </c>
      <c r="E60" s="35">
        <v>22900</v>
      </c>
      <c r="F60" s="227"/>
    </row>
    <row r="61" spans="1:8" ht="48.75">
      <c r="A61" s="445" t="s">
        <v>660</v>
      </c>
      <c r="B61" s="118" t="s">
        <v>555</v>
      </c>
      <c r="C61" s="115" t="s">
        <v>1</v>
      </c>
      <c r="D61" s="35">
        <f>E61*1.25</f>
        <v>27753.75</v>
      </c>
      <c r="E61" s="35">
        <v>22203</v>
      </c>
      <c r="F61" s="227"/>
    </row>
    <row r="62" spans="1:8" ht="48.75">
      <c r="A62" s="445" t="s">
        <v>581</v>
      </c>
      <c r="B62" s="118" t="s">
        <v>329</v>
      </c>
      <c r="C62" s="115" t="s">
        <v>1</v>
      </c>
      <c r="D62" s="35">
        <f>E62*1.25</f>
        <v>47556.25</v>
      </c>
      <c r="E62" s="35">
        <v>38045</v>
      </c>
      <c r="F62" s="180"/>
    </row>
    <row r="63" spans="1:8" ht="48.75">
      <c r="A63" s="445" t="s">
        <v>293</v>
      </c>
      <c r="B63" s="118" t="s">
        <v>329</v>
      </c>
      <c r="C63" s="115" t="s">
        <v>1</v>
      </c>
      <c r="D63" s="35">
        <f>E63*1.25</f>
        <v>47556.25</v>
      </c>
      <c r="E63" s="35">
        <v>38045</v>
      </c>
      <c r="F63" s="180"/>
    </row>
    <row r="64" spans="1:8" ht="26.45" customHeight="1">
      <c r="A64" s="131" t="s">
        <v>294</v>
      </c>
      <c r="B64" s="747" t="s">
        <v>391</v>
      </c>
      <c r="C64" s="115" t="s">
        <v>1</v>
      </c>
      <c r="D64" s="35">
        <f>E64*1.25</f>
        <v>28125</v>
      </c>
      <c r="E64" s="35">
        <v>22500</v>
      </c>
      <c r="F64" s="353"/>
    </row>
    <row r="65" spans="1:10" ht="25.5">
      <c r="A65" s="131" t="s">
        <v>295</v>
      </c>
      <c r="B65" s="748"/>
      <c r="C65" s="115" t="s">
        <v>1</v>
      </c>
      <c r="D65" s="35">
        <f>E65*1.25</f>
        <v>29875</v>
      </c>
      <c r="E65" s="35">
        <v>23900</v>
      </c>
      <c r="F65" s="353"/>
    </row>
    <row r="66" spans="1:10" ht="25.5">
      <c r="A66" s="131" t="s">
        <v>844</v>
      </c>
      <c r="B66" s="748"/>
      <c r="C66" s="115" t="s">
        <v>1</v>
      </c>
      <c r="D66" s="35">
        <f>E66*1.25</f>
        <v>28125</v>
      </c>
      <c r="E66" s="35">
        <v>22500</v>
      </c>
      <c r="F66" s="450"/>
    </row>
    <row r="67" spans="1:10" ht="25.5">
      <c r="A67" s="131" t="s">
        <v>843</v>
      </c>
      <c r="B67" s="749"/>
      <c r="C67" s="115" t="s">
        <v>1</v>
      </c>
      <c r="D67" s="35">
        <f>E67*1.25</f>
        <v>29875</v>
      </c>
      <c r="E67" s="35">
        <v>23900</v>
      </c>
      <c r="F67" s="450"/>
    </row>
    <row r="68" spans="1:10" ht="48.75" customHeight="1">
      <c r="A68" s="131" t="s">
        <v>528</v>
      </c>
      <c r="B68" s="287" t="s">
        <v>517</v>
      </c>
      <c r="C68" s="115" t="s">
        <v>1</v>
      </c>
      <c r="D68" s="35">
        <f>E68*1.25</f>
        <v>123250</v>
      </c>
      <c r="E68" s="35">
        <v>98600</v>
      </c>
      <c r="F68" s="353"/>
    </row>
    <row r="69" spans="1:10" ht="48.75">
      <c r="A69" s="131" t="s">
        <v>713</v>
      </c>
      <c r="B69" s="287" t="s">
        <v>517</v>
      </c>
      <c r="C69" s="115" t="s">
        <v>1</v>
      </c>
      <c r="D69" s="35">
        <f>E69*1.25</f>
        <v>117955</v>
      </c>
      <c r="E69" s="35">
        <v>94364</v>
      </c>
      <c r="F69" s="353"/>
    </row>
    <row r="70" spans="1:10" ht="48.75">
      <c r="A70" s="131" t="s">
        <v>296</v>
      </c>
      <c r="B70" s="287" t="s">
        <v>330</v>
      </c>
      <c r="C70" s="115" t="s">
        <v>1</v>
      </c>
      <c r="D70" s="35">
        <f>E70*1.25</f>
        <v>34000</v>
      </c>
      <c r="E70" s="35">
        <v>27200</v>
      </c>
      <c r="F70" s="126"/>
    </row>
    <row r="71" spans="1:10" ht="25.5">
      <c r="A71" s="445" t="s">
        <v>297</v>
      </c>
      <c r="B71" s="758" t="s">
        <v>298</v>
      </c>
      <c r="C71" s="115" t="s">
        <v>1</v>
      </c>
      <c r="D71" s="35">
        <f>E71*1.25</f>
        <v>17000</v>
      </c>
      <c r="E71" s="35">
        <v>13600</v>
      </c>
      <c r="F71" s="180"/>
    </row>
    <row r="72" spans="1:10" ht="25.5">
      <c r="A72" s="445" t="s">
        <v>527</v>
      </c>
      <c r="B72" s="758"/>
      <c r="C72" s="115" t="s">
        <v>1</v>
      </c>
      <c r="D72" s="35">
        <f>E72*1.25</f>
        <v>18500</v>
      </c>
      <c r="E72" s="35">
        <v>14800</v>
      </c>
      <c r="F72" s="353"/>
    </row>
    <row r="73" spans="1:10" ht="48.75">
      <c r="A73" s="131" t="s">
        <v>582</v>
      </c>
      <c r="B73" s="118" t="s">
        <v>526</v>
      </c>
      <c r="C73" s="115" t="s">
        <v>1</v>
      </c>
      <c r="D73" s="35">
        <f>E73*1.25</f>
        <v>13007.5</v>
      </c>
      <c r="E73" s="35">
        <v>10406</v>
      </c>
      <c r="F73" s="227"/>
      <c r="I73" s="458"/>
      <c r="J73" s="458"/>
    </row>
    <row r="74" spans="1:10" ht="48.75">
      <c r="A74" s="445" t="s">
        <v>854</v>
      </c>
      <c r="B74" s="118" t="s">
        <v>526</v>
      </c>
      <c r="C74" s="115" t="s">
        <v>1</v>
      </c>
      <c r="D74" s="35">
        <f>E74*1.25</f>
        <v>12450</v>
      </c>
      <c r="E74" s="35">
        <v>9960</v>
      </c>
      <c r="F74" s="227"/>
      <c r="I74" s="457"/>
      <c r="J74" s="459"/>
    </row>
    <row r="75" spans="1:10" ht="48.75">
      <c r="A75" s="445" t="s">
        <v>855</v>
      </c>
      <c r="B75" s="118" t="s">
        <v>332</v>
      </c>
      <c r="C75" s="115" t="s">
        <v>1</v>
      </c>
      <c r="D75" s="35">
        <f>E75*1.25</f>
        <v>12450</v>
      </c>
      <c r="E75" s="35">
        <v>9960</v>
      </c>
      <c r="F75" s="227"/>
      <c r="I75" s="457"/>
      <c r="J75" s="459"/>
    </row>
    <row r="76" spans="1:10" ht="49.5" thickBot="1">
      <c r="A76" s="449" t="s">
        <v>299</v>
      </c>
      <c r="B76" s="138" t="s">
        <v>331</v>
      </c>
      <c r="C76" s="140" t="s">
        <v>1</v>
      </c>
      <c r="D76" s="141">
        <f>E76*1.25</f>
        <v>9836.25</v>
      </c>
      <c r="E76" s="141">
        <v>7869</v>
      </c>
      <c r="F76" s="223"/>
      <c r="I76" s="457"/>
      <c r="J76" s="459"/>
    </row>
    <row r="77" spans="1:10" ht="15.75" thickBot="1">
      <c r="A77" s="744" t="s">
        <v>864</v>
      </c>
      <c r="B77" s="745"/>
      <c r="C77" s="745"/>
      <c r="D77" s="745"/>
      <c r="E77" s="745"/>
      <c r="F77" s="746"/>
      <c r="I77" s="457"/>
      <c r="J77" s="459"/>
    </row>
    <row r="78" spans="1:10" ht="30" customHeight="1">
      <c r="A78" s="462" t="s">
        <v>845</v>
      </c>
      <c r="B78" s="148" t="s">
        <v>847</v>
      </c>
      <c r="C78" s="149" t="s">
        <v>1</v>
      </c>
      <c r="D78" s="150">
        <f>E78*1.25</f>
        <v>6000</v>
      </c>
      <c r="E78" s="150">
        <v>4800</v>
      </c>
      <c r="F78" s="463" t="s">
        <v>601</v>
      </c>
      <c r="I78" s="457"/>
      <c r="J78" s="459"/>
    </row>
    <row r="79" spans="1:10" ht="30" customHeight="1" thickBot="1">
      <c r="A79" s="464" t="s">
        <v>846</v>
      </c>
      <c r="B79" s="256" t="s">
        <v>847</v>
      </c>
      <c r="C79" s="257" t="s">
        <v>1</v>
      </c>
      <c r="D79" s="217">
        <f>E79*1.25</f>
        <v>7000</v>
      </c>
      <c r="E79" s="217">
        <v>5600</v>
      </c>
      <c r="F79" s="465" t="s">
        <v>601</v>
      </c>
      <c r="I79" s="457"/>
      <c r="J79" s="459"/>
    </row>
    <row r="80" spans="1:10" ht="15.75" thickBot="1">
      <c r="A80" s="744" t="s">
        <v>858</v>
      </c>
      <c r="B80" s="745"/>
      <c r="C80" s="745"/>
      <c r="D80" s="745"/>
      <c r="E80" s="745"/>
      <c r="F80" s="746"/>
      <c r="I80" s="457"/>
      <c r="J80" s="459"/>
    </row>
    <row r="81" spans="1:10" ht="19.5">
      <c r="A81" s="455" t="s">
        <v>848</v>
      </c>
      <c r="B81" s="148" t="s">
        <v>853</v>
      </c>
      <c r="C81" s="149" t="s">
        <v>1</v>
      </c>
      <c r="D81" s="150">
        <f>E81*1.25</f>
        <v>2812.5</v>
      </c>
      <c r="E81" s="150">
        <v>2250</v>
      </c>
      <c r="F81" s="463" t="s">
        <v>601</v>
      </c>
      <c r="I81" s="457"/>
      <c r="J81" s="459"/>
    </row>
    <row r="82" spans="1:10" ht="19.5">
      <c r="A82" s="451" t="s">
        <v>849</v>
      </c>
      <c r="B82" s="456" t="s">
        <v>856</v>
      </c>
      <c r="C82" s="115" t="s">
        <v>1</v>
      </c>
      <c r="D82" s="35">
        <f>E82*1.25</f>
        <v>2812.5</v>
      </c>
      <c r="E82" s="35">
        <v>2250</v>
      </c>
      <c r="F82" s="450" t="s">
        <v>601</v>
      </c>
      <c r="I82" s="458"/>
      <c r="J82" s="458"/>
    </row>
    <row r="83" spans="1:10" ht="19.5">
      <c r="A83" s="451" t="s">
        <v>850</v>
      </c>
      <c r="B83" s="456" t="s">
        <v>857</v>
      </c>
      <c r="C83" s="115" t="s">
        <v>1</v>
      </c>
      <c r="D83" s="35">
        <f>E83*1.25</f>
        <v>10000</v>
      </c>
      <c r="E83" s="35">
        <v>8000</v>
      </c>
      <c r="F83" s="450" t="s">
        <v>601</v>
      </c>
      <c r="I83" s="458"/>
      <c r="J83" s="458"/>
    </row>
    <row r="84" spans="1:10" ht="29.25">
      <c r="A84" s="451" t="s">
        <v>851</v>
      </c>
      <c r="B84" s="456" t="s">
        <v>859</v>
      </c>
      <c r="C84" s="115" t="s">
        <v>1</v>
      </c>
      <c r="D84" s="35">
        <f>E84*1.25</f>
        <v>9375</v>
      </c>
      <c r="E84" s="35">
        <v>7500</v>
      </c>
      <c r="F84" s="450" t="s">
        <v>601</v>
      </c>
      <c r="I84" s="458"/>
      <c r="J84" s="458"/>
    </row>
    <row r="85" spans="1:10" ht="30" thickBot="1">
      <c r="A85" s="452" t="s">
        <v>852</v>
      </c>
      <c r="B85" s="256" t="s">
        <v>860</v>
      </c>
      <c r="C85" s="257" t="s">
        <v>1</v>
      </c>
      <c r="D85" s="217">
        <f>E85*1.25</f>
        <v>4312.5</v>
      </c>
      <c r="E85" s="217">
        <v>3450</v>
      </c>
      <c r="F85" s="465" t="s">
        <v>601</v>
      </c>
      <c r="I85" s="458"/>
      <c r="J85" s="458"/>
    </row>
    <row r="86" spans="1:10" ht="13.5" thickBot="1">
      <c r="A86" s="732" t="s">
        <v>4</v>
      </c>
      <c r="B86" s="733"/>
      <c r="C86" s="733"/>
      <c r="D86" s="733"/>
      <c r="E86" s="733"/>
      <c r="F86" s="734"/>
    </row>
    <row r="87" spans="1:10" ht="13.5" thickBot="1">
      <c r="A87" s="735" t="s">
        <v>24</v>
      </c>
      <c r="B87" s="736"/>
      <c r="C87" s="736"/>
      <c r="D87" s="736"/>
      <c r="E87" s="736"/>
      <c r="F87" s="737"/>
    </row>
    <row r="88" spans="1:10" ht="13.5" thickBot="1">
      <c r="A88" s="408" t="s">
        <v>37</v>
      </c>
      <c r="B88" s="366" t="s">
        <v>208</v>
      </c>
      <c r="C88" s="367" t="s">
        <v>1</v>
      </c>
      <c r="D88" s="381">
        <v>29738</v>
      </c>
      <c r="E88" s="362">
        <v>26765</v>
      </c>
      <c r="F88" s="409" t="s">
        <v>702</v>
      </c>
    </row>
    <row r="89" spans="1:10" ht="13.5" thickBot="1">
      <c r="A89" s="732" t="s">
        <v>3</v>
      </c>
      <c r="B89" s="733"/>
      <c r="C89" s="733"/>
      <c r="D89" s="733"/>
      <c r="E89" s="733"/>
      <c r="F89" s="734"/>
    </row>
    <row r="90" spans="1:10" ht="13.5" thickBot="1">
      <c r="A90" s="744" t="s">
        <v>733</v>
      </c>
      <c r="B90" s="745"/>
      <c r="C90" s="745"/>
      <c r="D90" s="745"/>
      <c r="E90" s="745"/>
      <c r="F90" s="746"/>
    </row>
    <row r="91" spans="1:10" ht="19.5" customHeight="1" thickBot="1">
      <c r="A91" s="401" t="s">
        <v>732</v>
      </c>
      <c r="B91" s="402" t="s">
        <v>734</v>
      </c>
      <c r="C91" s="402" t="s">
        <v>1</v>
      </c>
      <c r="D91" s="403">
        <f>E91*1.25</f>
        <v>19375</v>
      </c>
      <c r="E91" s="403">
        <v>15500</v>
      </c>
      <c r="F91" s="404" t="s">
        <v>601</v>
      </c>
    </row>
    <row r="92" spans="1:10" ht="19.5" customHeight="1" thickBot="1">
      <c r="A92" s="744" t="s">
        <v>738</v>
      </c>
      <c r="B92" s="745"/>
      <c r="C92" s="745"/>
      <c r="D92" s="745"/>
      <c r="E92" s="745"/>
      <c r="F92" s="746"/>
    </row>
    <row r="93" spans="1:10" ht="19.5" customHeight="1" thickBot="1">
      <c r="A93" s="401" t="s">
        <v>735</v>
      </c>
      <c r="B93" s="402" t="s">
        <v>736</v>
      </c>
      <c r="C93" s="402" t="s">
        <v>1</v>
      </c>
      <c r="D93" s="403">
        <f>E93*1.25</f>
        <v>18125</v>
      </c>
      <c r="E93" s="403">
        <v>14500</v>
      </c>
      <c r="F93" s="404" t="s">
        <v>601</v>
      </c>
    </row>
    <row r="94" spans="1:10" ht="13.5" thickBot="1">
      <c r="A94" s="732" t="s">
        <v>264</v>
      </c>
      <c r="B94" s="733"/>
      <c r="C94" s="733"/>
      <c r="D94" s="733"/>
      <c r="E94" s="733"/>
      <c r="F94" s="734"/>
    </row>
    <row r="95" spans="1:10">
      <c r="A95" s="355" t="s">
        <v>266</v>
      </c>
      <c r="B95" s="148" t="s">
        <v>270</v>
      </c>
      <c r="C95" s="149" t="s">
        <v>1</v>
      </c>
      <c r="D95" s="150">
        <f>E95*1.25</f>
        <v>13806.25</v>
      </c>
      <c r="E95" s="150">
        <v>11045</v>
      </c>
      <c r="F95" s="151"/>
    </row>
    <row r="96" spans="1:10" ht="20.25" thickBot="1">
      <c r="A96" s="354" t="s">
        <v>265</v>
      </c>
      <c r="B96" s="138" t="s">
        <v>267</v>
      </c>
      <c r="C96" s="140" t="s">
        <v>1</v>
      </c>
      <c r="D96" s="150">
        <f>E96*1.25</f>
        <v>14526.25</v>
      </c>
      <c r="E96" s="141">
        <v>11621</v>
      </c>
      <c r="F96" s="142"/>
    </row>
    <row r="97" spans="1:7" ht="13.5" thickBot="1">
      <c r="A97" s="732" t="s">
        <v>224</v>
      </c>
      <c r="B97" s="733"/>
      <c r="C97" s="733"/>
      <c r="D97" s="733"/>
      <c r="E97" s="733"/>
      <c r="F97" s="734"/>
    </row>
    <row r="98" spans="1:7" ht="13.5" thickBot="1">
      <c r="A98" s="355" t="s">
        <v>258</v>
      </c>
      <c r="B98" s="148" t="s">
        <v>259</v>
      </c>
      <c r="C98" s="149" t="s">
        <v>1</v>
      </c>
      <c r="D98" s="150">
        <f>E98*1.25</f>
        <v>3927.5</v>
      </c>
      <c r="E98" s="154">
        <v>3142</v>
      </c>
      <c r="F98" s="151"/>
    </row>
    <row r="99" spans="1:7" ht="13.5" thickBot="1">
      <c r="A99" s="732" t="s">
        <v>80</v>
      </c>
      <c r="B99" s="733"/>
      <c r="C99" s="733"/>
      <c r="D99" s="733"/>
      <c r="E99" s="733"/>
      <c r="F99" s="734"/>
    </row>
    <row r="100" spans="1:7" ht="20.25" hidden="1" thickBot="1">
      <c r="A100" s="178" t="s">
        <v>7</v>
      </c>
      <c r="B100" s="338" t="s">
        <v>317</v>
      </c>
      <c r="C100" s="152" t="s">
        <v>1</v>
      </c>
      <c r="D100" s="153">
        <f>E100*1.2</f>
        <v>9300</v>
      </c>
      <c r="E100" s="153">
        <v>7750</v>
      </c>
      <c r="F100" s="340" t="s">
        <v>287</v>
      </c>
    </row>
    <row r="101" spans="1:7" ht="24">
      <c r="A101" s="341" t="s">
        <v>323</v>
      </c>
      <c r="B101" s="254" t="s">
        <v>203</v>
      </c>
      <c r="C101" s="255" t="s">
        <v>1</v>
      </c>
      <c r="D101" s="216">
        <f>E101*1.25</f>
        <v>17101.25</v>
      </c>
      <c r="E101" s="216">
        <v>13681</v>
      </c>
      <c r="F101" s="342"/>
    </row>
    <row r="102" spans="1:7" ht="24">
      <c r="A102" s="131" t="s">
        <v>324</v>
      </c>
      <c r="B102" s="344" t="s">
        <v>203</v>
      </c>
      <c r="C102" s="115" t="s">
        <v>1</v>
      </c>
      <c r="D102" s="35">
        <f>E102*1.25</f>
        <v>16800</v>
      </c>
      <c r="E102" s="35">
        <v>13440</v>
      </c>
      <c r="F102" s="123"/>
    </row>
    <row r="103" spans="1:7" ht="24">
      <c r="A103" s="350" t="s">
        <v>613</v>
      </c>
      <c r="B103" s="344" t="s">
        <v>595</v>
      </c>
      <c r="C103" s="115" t="s">
        <v>1</v>
      </c>
      <c r="D103" s="35">
        <f>E103*1.25</f>
        <v>7681.25</v>
      </c>
      <c r="E103" s="35">
        <v>6145</v>
      </c>
      <c r="F103" s="123"/>
    </row>
    <row r="104" spans="1:7" ht="24" hidden="1">
      <c r="A104" s="131" t="s">
        <v>325</v>
      </c>
      <c r="B104" s="345" t="s">
        <v>221</v>
      </c>
      <c r="C104" s="115" t="s">
        <v>1</v>
      </c>
      <c r="D104" s="35">
        <f>E104*1.25</f>
        <v>19677.5</v>
      </c>
      <c r="E104" s="35">
        <v>15742</v>
      </c>
      <c r="F104" s="123"/>
    </row>
    <row r="105" spans="1:7" ht="24">
      <c r="A105" s="131" t="s">
        <v>714</v>
      </c>
      <c r="B105" s="344" t="s">
        <v>221</v>
      </c>
      <c r="C105" s="115" t="s">
        <v>1</v>
      </c>
      <c r="D105" s="35">
        <f>E105*1.25</f>
        <v>18625</v>
      </c>
      <c r="E105" s="35">
        <v>14900</v>
      </c>
      <c r="F105" s="123"/>
    </row>
    <row r="106" spans="1:7" ht="24">
      <c r="A106" s="365" t="s">
        <v>614</v>
      </c>
      <c r="B106" s="366" t="s">
        <v>249</v>
      </c>
      <c r="C106" s="367" t="s">
        <v>1</v>
      </c>
      <c r="D106" s="362">
        <v>3808</v>
      </c>
      <c r="E106" s="362">
        <v>3427</v>
      </c>
      <c r="F106" s="406" t="s">
        <v>702</v>
      </c>
    </row>
    <row r="107" spans="1:7" ht="24.75" thickBot="1">
      <c r="A107" s="369" t="s">
        <v>615</v>
      </c>
      <c r="B107" s="370" t="s">
        <v>248</v>
      </c>
      <c r="C107" s="371" t="s">
        <v>1</v>
      </c>
      <c r="D107" s="364">
        <v>3471</v>
      </c>
      <c r="E107" s="364">
        <v>3124</v>
      </c>
      <c r="F107" s="407" t="s">
        <v>702</v>
      </c>
    </row>
    <row r="108" spans="1:7">
      <c r="A108" s="741" t="s">
        <v>740</v>
      </c>
      <c r="B108" s="742"/>
      <c r="C108" s="742"/>
      <c r="D108" s="742"/>
      <c r="E108" s="742"/>
      <c r="F108" s="743"/>
    </row>
    <row r="109" spans="1:7" ht="15.75" customHeight="1">
      <c r="A109" s="350" t="s">
        <v>605</v>
      </c>
      <c r="B109" s="344" t="s">
        <v>609</v>
      </c>
      <c r="C109" s="115" t="s">
        <v>1</v>
      </c>
      <c r="D109" s="35">
        <f>E109*1.25</f>
        <v>17726.25</v>
      </c>
      <c r="E109" s="35">
        <v>14181</v>
      </c>
      <c r="F109" s="290"/>
      <c r="G109" s="752"/>
    </row>
    <row r="110" spans="1:7" ht="15.75" customHeight="1">
      <c r="A110" s="350" t="s">
        <v>606</v>
      </c>
      <c r="B110" s="344" t="s">
        <v>610</v>
      </c>
      <c r="C110" s="115" t="s">
        <v>1</v>
      </c>
      <c r="D110" s="35">
        <f>E110*1.25</f>
        <v>20137.5</v>
      </c>
      <c r="E110" s="35">
        <v>16110</v>
      </c>
      <c r="F110" s="290"/>
      <c r="G110" s="752"/>
    </row>
    <row r="111" spans="1:7" ht="15.75" customHeight="1">
      <c r="A111" s="350" t="s">
        <v>607</v>
      </c>
      <c r="B111" s="344" t="s">
        <v>611</v>
      </c>
      <c r="C111" s="115" t="s">
        <v>1</v>
      </c>
      <c r="D111" s="35">
        <f>E111*1.25</f>
        <v>20137.5</v>
      </c>
      <c r="E111" s="35">
        <v>16110</v>
      </c>
      <c r="F111" s="343"/>
      <c r="G111" s="752"/>
    </row>
    <row r="112" spans="1:7" ht="15.75" customHeight="1" thickBot="1">
      <c r="A112" s="246" t="s">
        <v>608</v>
      </c>
      <c r="B112" s="256" t="s">
        <v>716</v>
      </c>
      <c r="C112" s="257" t="s">
        <v>1</v>
      </c>
      <c r="D112" s="217">
        <f>E112*1.25</f>
        <v>22972.5</v>
      </c>
      <c r="E112" s="217">
        <v>18378</v>
      </c>
      <c r="F112" s="339"/>
      <c r="G112" s="752"/>
    </row>
    <row r="113" spans="1:6" ht="13.5" thickBot="1">
      <c r="A113" s="735" t="s">
        <v>78</v>
      </c>
      <c r="B113" s="736"/>
      <c r="C113" s="736"/>
      <c r="D113" s="736"/>
      <c r="E113" s="736"/>
      <c r="F113" s="737"/>
    </row>
    <row r="114" spans="1:6" hidden="1">
      <c r="A114" s="400" t="s">
        <v>201</v>
      </c>
      <c r="B114" s="254" t="s">
        <v>319</v>
      </c>
      <c r="C114" s="255" t="s">
        <v>1</v>
      </c>
      <c r="D114" s="405">
        <f>E114*1.25</f>
        <v>21691.25</v>
      </c>
      <c r="E114" s="405">
        <v>17353</v>
      </c>
      <c r="F114" s="377" t="s">
        <v>287</v>
      </c>
    </row>
    <row r="115" spans="1:6">
      <c r="A115" s="365" t="s">
        <v>175</v>
      </c>
      <c r="B115" s="366" t="s">
        <v>321</v>
      </c>
      <c r="C115" s="367" t="s">
        <v>1</v>
      </c>
      <c r="D115" s="368">
        <f>E115*1.25</f>
        <v>11420</v>
      </c>
      <c r="E115" s="362">
        <v>9136</v>
      </c>
      <c r="F115" s="351" t="s">
        <v>702</v>
      </c>
    </row>
    <row r="116" spans="1:6">
      <c r="A116" s="365" t="s">
        <v>176</v>
      </c>
      <c r="B116" s="366" t="s">
        <v>320</v>
      </c>
      <c r="C116" s="367" t="s">
        <v>1</v>
      </c>
      <c r="D116" s="368">
        <f>E116*1.25</f>
        <v>13546.25</v>
      </c>
      <c r="E116" s="362">
        <v>10837</v>
      </c>
      <c r="F116" s="351" t="s">
        <v>702</v>
      </c>
    </row>
    <row r="117" spans="1:6" ht="13.5" thickBot="1">
      <c r="A117" s="369" t="s">
        <v>177</v>
      </c>
      <c r="B117" s="370" t="s">
        <v>322</v>
      </c>
      <c r="C117" s="371" t="s">
        <v>1</v>
      </c>
      <c r="D117" s="372">
        <f>E117*1.25</f>
        <v>16232.5</v>
      </c>
      <c r="E117" s="364">
        <v>12986</v>
      </c>
      <c r="F117" s="351" t="s">
        <v>702</v>
      </c>
    </row>
    <row r="118" spans="1:6" ht="13.5" hidden="1" thickBot="1">
      <c r="A118" s="732" t="s">
        <v>91</v>
      </c>
      <c r="B118" s="733"/>
      <c r="C118" s="733"/>
      <c r="D118" s="733"/>
      <c r="E118" s="733"/>
      <c r="F118" s="734"/>
    </row>
    <row r="119" spans="1:6" ht="21.75" hidden="1" thickBot="1">
      <c r="A119" s="178" t="s">
        <v>8</v>
      </c>
      <c r="B119" s="155" t="s">
        <v>210</v>
      </c>
      <c r="C119" s="156" t="s">
        <v>1</v>
      </c>
      <c r="D119" s="157">
        <f>E119*1.25</f>
        <v>51865</v>
      </c>
      <c r="E119" s="157">
        <v>41492</v>
      </c>
      <c r="F119" s="348" t="s">
        <v>287</v>
      </c>
    </row>
    <row r="120" spans="1:6" ht="13.5" thickBot="1">
      <c r="A120" s="738" t="s">
        <v>79</v>
      </c>
      <c r="B120" s="739"/>
      <c r="C120" s="739"/>
      <c r="D120" s="739"/>
      <c r="E120" s="739"/>
      <c r="F120" s="740"/>
    </row>
    <row r="121" spans="1:6">
      <c r="A121" s="179" t="s">
        <v>99</v>
      </c>
      <c r="B121" s="159" t="s">
        <v>211</v>
      </c>
      <c r="C121" s="160" t="s">
        <v>1</v>
      </c>
      <c r="D121" s="161">
        <f>E121*1.2</f>
        <v>42500.4</v>
      </c>
      <c r="E121" s="161">
        <v>35417</v>
      </c>
      <c r="F121" s="289"/>
    </row>
    <row r="122" spans="1:6">
      <c r="A122" s="347" t="s">
        <v>100</v>
      </c>
      <c r="B122" s="260" t="s">
        <v>212</v>
      </c>
      <c r="C122" s="116" t="s">
        <v>1</v>
      </c>
      <c r="D122" s="112">
        <f>E122*1.2</f>
        <v>53499.6</v>
      </c>
      <c r="E122" s="112">
        <v>44583</v>
      </c>
      <c r="F122" s="343" t="s">
        <v>521</v>
      </c>
    </row>
    <row r="123" spans="1:6">
      <c r="A123" s="347" t="s">
        <v>9</v>
      </c>
      <c r="B123" s="260" t="s">
        <v>715</v>
      </c>
      <c r="C123" s="116" t="s">
        <v>1</v>
      </c>
      <c r="D123" s="112">
        <f>E123*1.2</f>
        <v>58500</v>
      </c>
      <c r="E123" s="112">
        <v>48750</v>
      </c>
      <c r="F123" s="290"/>
    </row>
    <row r="124" spans="1:6">
      <c r="A124" s="130" t="s">
        <v>102</v>
      </c>
      <c r="B124" s="260" t="s">
        <v>649</v>
      </c>
      <c r="C124" s="116" t="s">
        <v>1</v>
      </c>
      <c r="D124" s="112">
        <f>E124*1.2</f>
        <v>81249.599999999991</v>
      </c>
      <c r="E124" s="112">
        <v>67708</v>
      </c>
      <c r="F124" s="290"/>
    </row>
    <row r="125" spans="1:6">
      <c r="A125" s="130" t="s">
        <v>76</v>
      </c>
      <c r="B125" s="260" t="s">
        <v>650</v>
      </c>
      <c r="C125" s="116" t="s">
        <v>1</v>
      </c>
      <c r="D125" s="112">
        <f>E125*1.2</f>
        <v>131250</v>
      </c>
      <c r="E125" s="112">
        <v>109375</v>
      </c>
      <c r="F125" s="290"/>
    </row>
    <row r="126" spans="1:6" ht="13.5" thickBot="1">
      <c r="A126" s="162" t="s">
        <v>77</v>
      </c>
      <c r="B126" s="163" t="s">
        <v>651</v>
      </c>
      <c r="C126" s="164" t="s">
        <v>1</v>
      </c>
      <c r="D126" s="132">
        <f>E126*1.2</f>
        <v>150000</v>
      </c>
      <c r="E126" s="132">
        <v>125000</v>
      </c>
      <c r="F126" s="291"/>
    </row>
  </sheetData>
  <mergeCells count="25">
    <mergeCell ref="F57:F58"/>
    <mergeCell ref="G109:G112"/>
    <mergeCell ref="A1:E1"/>
    <mergeCell ref="A2:E2"/>
    <mergeCell ref="A4:F4"/>
    <mergeCell ref="B71:B72"/>
    <mergeCell ref="A86:F86"/>
    <mergeCell ref="A87:F87"/>
    <mergeCell ref="A89:F89"/>
    <mergeCell ref="A94:F94"/>
    <mergeCell ref="A8:F8"/>
    <mergeCell ref="A15:F15"/>
    <mergeCell ref="A23:F23"/>
    <mergeCell ref="A59:F59"/>
    <mergeCell ref="A113:F113"/>
    <mergeCell ref="A118:F118"/>
    <mergeCell ref="A120:F120"/>
    <mergeCell ref="A108:F108"/>
    <mergeCell ref="A97:F97"/>
    <mergeCell ref="A99:F99"/>
    <mergeCell ref="A90:F90"/>
    <mergeCell ref="A92:F92"/>
    <mergeCell ref="A77:F77"/>
    <mergeCell ref="A80:F80"/>
    <mergeCell ref="B64:B67"/>
  </mergeCells>
  <pageMargins left="0.46" right="0.28000000000000003" top="0.4" bottom="0.43" header="0.3" footer="0.3"/>
  <pageSetup paperSize="9" scale="91" orientation="portrait" r:id="rId1"/>
  <rowBreaks count="2" manualBreakCount="2">
    <brk id="18" max="5" man="1"/>
    <brk id="58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I26"/>
  <sheetViews>
    <sheetView view="pageBreakPreview" zoomScaleSheetLayoutView="100" workbookViewId="0">
      <selection activeCell="H4" sqref="H4"/>
    </sheetView>
  </sheetViews>
  <sheetFormatPr defaultRowHeight="12.75"/>
  <cols>
    <col min="2" max="2" width="16.42578125" customWidth="1"/>
    <col min="3" max="3" width="11.5703125" customWidth="1"/>
    <col min="4" max="4" width="43.42578125" customWidth="1"/>
    <col min="6" max="6" width="7" customWidth="1"/>
    <col min="7" max="7" width="11.42578125" customWidth="1"/>
    <col min="8" max="8" width="11.28515625" customWidth="1"/>
    <col min="9" max="9" width="13.28515625" hidden="1" customWidth="1"/>
  </cols>
  <sheetData>
    <row r="3" spans="1:9">
      <c r="G3" s="765">
        <v>42431</v>
      </c>
      <c r="H3" s="766"/>
    </row>
    <row r="4" spans="1:9" ht="33.75">
      <c r="A4" s="33"/>
      <c r="C4" s="33"/>
      <c r="D4" s="38" t="s">
        <v>117</v>
      </c>
      <c r="E4" s="36"/>
      <c r="F4" s="10"/>
      <c r="G4" s="13"/>
      <c r="H4" s="96">
        <v>345</v>
      </c>
    </row>
    <row r="5" spans="1:9" ht="15.75">
      <c r="A5" s="34" t="s">
        <v>115</v>
      </c>
      <c r="B5" s="33"/>
      <c r="C5" s="33"/>
      <c r="D5" s="33"/>
      <c r="E5" s="36"/>
      <c r="F5" s="10"/>
      <c r="G5" s="13"/>
      <c r="H5" s="13"/>
    </row>
    <row r="6" spans="1:9" ht="15.75">
      <c r="A6" s="34" t="s">
        <v>139</v>
      </c>
      <c r="B6" s="33"/>
      <c r="C6" s="33"/>
      <c r="D6" s="33"/>
      <c r="E6" s="36"/>
      <c r="F6" s="41"/>
      <c r="G6" s="41"/>
      <c r="H6" s="41"/>
    </row>
    <row r="7" spans="1:9" ht="15.75">
      <c r="A7" s="8" t="s">
        <v>72</v>
      </c>
      <c r="B7" s="36"/>
      <c r="C7" s="36"/>
      <c r="E7" s="37" t="s">
        <v>73</v>
      </c>
      <c r="F7" s="39"/>
      <c r="G7" s="39"/>
      <c r="H7" s="39"/>
    </row>
    <row r="8" spans="1:9" ht="38.25">
      <c r="A8" s="775" t="s">
        <v>2</v>
      </c>
      <c r="B8" s="776"/>
      <c r="C8" s="775" t="s">
        <v>0</v>
      </c>
      <c r="D8" s="776"/>
      <c r="E8" s="40" t="s">
        <v>118</v>
      </c>
      <c r="F8" s="40" t="s">
        <v>5</v>
      </c>
      <c r="G8" s="40" t="s">
        <v>42</v>
      </c>
      <c r="H8" s="40" t="s">
        <v>43</v>
      </c>
    </row>
    <row r="9" spans="1:9" ht="15.75">
      <c r="A9" s="768" t="s">
        <v>119</v>
      </c>
      <c r="B9" s="768"/>
      <c r="C9" s="768"/>
      <c r="D9" s="768"/>
      <c r="E9" s="768"/>
      <c r="F9" s="768"/>
      <c r="G9" s="768"/>
      <c r="H9" s="768"/>
    </row>
    <row r="10" spans="1:9" ht="15.75">
      <c r="A10" s="777" t="s">
        <v>120</v>
      </c>
      <c r="B10" s="778"/>
      <c r="C10" s="778"/>
      <c r="D10" s="778"/>
      <c r="E10" s="778"/>
      <c r="F10" s="778"/>
      <c r="G10" s="778"/>
      <c r="H10" s="779"/>
    </row>
    <row r="11" spans="1:9">
      <c r="A11" s="780" t="s">
        <v>145</v>
      </c>
      <c r="B11" s="780"/>
      <c r="C11" s="769" t="s">
        <v>121</v>
      </c>
      <c r="D11" s="770"/>
      <c r="E11" s="42">
        <v>13</v>
      </c>
      <c r="F11" s="42" t="s">
        <v>122</v>
      </c>
      <c r="G11" s="62">
        <f>H11/0.8</f>
        <v>2295362.6249999995</v>
      </c>
      <c r="H11" s="62">
        <f>5322.58*H4</f>
        <v>1836290.0999999999</v>
      </c>
      <c r="I11" s="61">
        <f>H11/186</f>
        <v>9872.5274193548375</v>
      </c>
    </row>
    <row r="12" spans="1:9" ht="15.75">
      <c r="A12" s="771" t="s">
        <v>123</v>
      </c>
      <c r="B12" s="772"/>
      <c r="C12" s="772"/>
      <c r="D12" s="772"/>
      <c r="E12" s="772"/>
      <c r="F12" s="772"/>
      <c r="G12" s="772"/>
      <c r="H12" s="773"/>
      <c r="I12" s="61">
        <f t="shared" ref="I12:I26" si="0">H12/186</f>
        <v>0</v>
      </c>
    </row>
    <row r="13" spans="1:9">
      <c r="A13" s="774" t="s">
        <v>146</v>
      </c>
      <c r="B13" s="774"/>
      <c r="C13" s="769" t="s">
        <v>121</v>
      </c>
      <c r="D13" s="770"/>
      <c r="E13" s="43">
        <v>20</v>
      </c>
      <c r="F13" s="42" t="s">
        <v>122</v>
      </c>
      <c r="G13" s="62">
        <f>H13/0.8</f>
        <v>4497984.9375</v>
      </c>
      <c r="H13" s="62">
        <f>10430.11*H4</f>
        <v>3598387.95</v>
      </c>
      <c r="I13" s="61">
        <f t="shared" si="0"/>
        <v>19346.17177419355</v>
      </c>
    </row>
    <row r="14" spans="1:9">
      <c r="A14" s="774" t="s">
        <v>147</v>
      </c>
      <c r="B14" s="774"/>
      <c r="C14" s="769" t="s">
        <v>121</v>
      </c>
      <c r="D14" s="770"/>
      <c r="E14" s="43">
        <v>25</v>
      </c>
      <c r="F14" s="42" t="s">
        <v>122</v>
      </c>
      <c r="G14" s="62">
        <f>H14/0.8</f>
        <v>5425405.3125</v>
      </c>
      <c r="H14" s="62">
        <f>12580.65*H4</f>
        <v>4340324.25</v>
      </c>
      <c r="I14" s="61">
        <f t="shared" si="0"/>
        <v>23335.076612903227</v>
      </c>
    </row>
    <row r="15" spans="1:9">
      <c r="A15" s="774" t="s">
        <v>148</v>
      </c>
      <c r="B15" s="774"/>
      <c r="C15" s="769" t="s">
        <v>121</v>
      </c>
      <c r="D15" s="770"/>
      <c r="E15" s="43">
        <v>30</v>
      </c>
      <c r="F15" s="42" t="s">
        <v>122</v>
      </c>
      <c r="G15" s="62">
        <f>H15/0.8</f>
        <v>5703630.5625</v>
      </c>
      <c r="H15" s="62">
        <f>13225.81*H4</f>
        <v>4562904.45</v>
      </c>
      <c r="I15" s="61">
        <f t="shared" si="0"/>
        <v>24531.744354838709</v>
      </c>
    </row>
    <row r="16" spans="1:9" ht="15.75" hidden="1">
      <c r="A16" s="768" t="s">
        <v>124</v>
      </c>
      <c r="B16" s="768"/>
      <c r="C16" s="768"/>
      <c r="D16" s="768"/>
      <c r="E16" s="768"/>
      <c r="F16" s="768"/>
      <c r="G16" s="768"/>
      <c r="H16" s="768"/>
      <c r="I16" s="61">
        <f t="shared" si="0"/>
        <v>0</v>
      </c>
    </row>
    <row r="17" spans="1:9" hidden="1">
      <c r="A17" s="769" t="s">
        <v>125</v>
      </c>
      <c r="B17" s="770"/>
      <c r="C17" s="769" t="s">
        <v>126</v>
      </c>
      <c r="D17" s="770"/>
      <c r="E17" s="42">
        <v>35</v>
      </c>
      <c r="F17" s="42" t="s">
        <v>1</v>
      </c>
      <c r="G17" s="62">
        <f>H17/0.8</f>
        <v>1738912.1250000002</v>
      </c>
      <c r="H17" s="62">
        <f>4032.26*H4</f>
        <v>1391129.7000000002</v>
      </c>
      <c r="I17" s="61">
        <f t="shared" si="0"/>
        <v>7479.1919354838719</v>
      </c>
    </row>
    <row r="18" spans="1:9" hidden="1">
      <c r="A18" s="769" t="s">
        <v>127</v>
      </c>
      <c r="B18" s="770"/>
      <c r="C18" s="769" t="s">
        <v>126</v>
      </c>
      <c r="D18" s="770"/>
      <c r="E18" s="42">
        <v>53</v>
      </c>
      <c r="F18" s="42" t="s">
        <v>1</v>
      </c>
      <c r="G18" s="62">
        <f>H18/0.8</f>
        <v>2898185.4375</v>
      </c>
      <c r="H18" s="62">
        <f>6720.43*H4</f>
        <v>2318548.35</v>
      </c>
      <c r="I18" s="61">
        <f t="shared" si="0"/>
        <v>12465.313709677419</v>
      </c>
    </row>
    <row r="19" spans="1:9" hidden="1">
      <c r="A19" s="769" t="s">
        <v>128</v>
      </c>
      <c r="B19" s="770"/>
      <c r="C19" s="769" t="s">
        <v>126</v>
      </c>
      <c r="D19" s="770"/>
      <c r="E19" s="42">
        <v>70</v>
      </c>
      <c r="F19" s="42" t="s">
        <v>1</v>
      </c>
      <c r="G19" s="62">
        <f>H19/0.8</f>
        <v>3570564.5624999995</v>
      </c>
      <c r="H19" s="62">
        <f>8279.57*H4</f>
        <v>2856451.65</v>
      </c>
      <c r="I19" s="61">
        <f t="shared" si="0"/>
        <v>15357.266935483871</v>
      </c>
    </row>
    <row r="20" spans="1:9" ht="15.75">
      <c r="A20" s="768" t="s">
        <v>129</v>
      </c>
      <c r="B20" s="768"/>
      <c r="C20" s="768"/>
      <c r="D20" s="768"/>
      <c r="E20" s="768"/>
      <c r="F20" s="768"/>
      <c r="G20" s="768"/>
      <c r="H20" s="768"/>
      <c r="I20" s="61">
        <f t="shared" si="0"/>
        <v>0</v>
      </c>
    </row>
    <row r="21" spans="1:9">
      <c r="A21" s="767" t="s">
        <v>130</v>
      </c>
      <c r="B21" s="767"/>
      <c r="C21" s="767" t="s">
        <v>131</v>
      </c>
      <c r="D21" s="767"/>
      <c r="E21" s="42">
        <v>22</v>
      </c>
      <c r="F21" s="44" t="s">
        <v>122</v>
      </c>
      <c r="G21" s="62">
        <f>H21/0.8</f>
        <v>1205645.6249999998</v>
      </c>
      <c r="H21" s="62">
        <f>2795.7*H4</f>
        <v>964516.49999999988</v>
      </c>
      <c r="I21" s="61">
        <f t="shared" si="0"/>
        <v>5185.572580645161</v>
      </c>
    </row>
    <row r="22" spans="1:9">
      <c r="A22" s="767" t="s">
        <v>132</v>
      </c>
      <c r="B22" s="767"/>
      <c r="C22" s="767" t="s">
        <v>131</v>
      </c>
      <c r="D22" s="767"/>
      <c r="E22" s="42">
        <v>28</v>
      </c>
      <c r="F22" s="44" t="s">
        <v>122</v>
      </c>
      <c r="G22" s="62">
        <f>H22/0.8</f>
        <v>1298385.9375</v>
      </c>
      <c r="H22" s="62">
        <f>3010.75*H4</f>
        <v>1038708.75</v>
      </c>
      <c r="I22" s="61">
        <f t="shared" si="0"/>
        <v>5584.4556451612907</v>
      </c>
    </row>
    <row r="23" spans="1:9" ht="15.75">
      <c r="A23" s="768" t="s">
        <v>133</v>
      </c>
      <c r="B23" s="768"/>
      <c r="C23" s="768"/>
      <c r="D23" s="768"/>
      <c r="E23" s="768"/>
      <c r="F23" s="768"/>
      <c r="G23" s="768"/>
      <c r="H23" s="768"/>
      <c r="I23" s="61">
        <f t="shared" si="0"/>
        <v>0</v>
      </c>
    </row>
    <row r="24" spans="1:9" hidden="1">
      <c r="A24" s="767" t="s">
        <v>134</v>
      </c>
      <c r="B24" s="767"/>
      <c r="C24" s="767" t="s">
        <v>135</v>
      </c>
      <c r="D24" s="767"/>
      <c r="E24" s="42">
        <v>22</v>
      </c>
      <c r="F24" s="44" t="s">
        <v>122</v>
      </c>
      <c r="G24" s="62">
        <f>H24/0.8</f>
        <v>1159273.3125</v>
      </c>
      <c r="H24" s="62">
        <f>2688.17*H4</f>
        <v>927418.65</v>
      </c>
      <c r="I24" s="61">
        <f t="shared" si="0"/>
        <v>4986.1217741935488</v>
      </c>
    </row>
    <row r="25" spans="1:9">
      <c r="A25" s="767" t="s">
        <v>136</v>
      </c>
      <c r="B25" s="767"/>
      <c r="C25" s="767" t="s">
        <v>135</v>
      </c>
      <c r="D25" s="767"/>
      <c r="E25" s="42">
        <v>28</v>
      </c>
      <c r="F25" s="44" t="s">
        <v>122</v>
      </c>
      <c r="G25" s="62">
        <f>H25/0.8</f>
        <v>1252017.9375</v>
      </c>
      <c r="H25" s="62">
        <f>2903.23*H4</f>
        <v>1001614.35</v>
      </c>
      <c r="I25" s="61">
        <f t="shared" si="0"/>
        <v>5385.0233870967741</v>
      </c>
    </row>
    <row r="26" spans="1:9">
      <c r="A26" s="767" t="s">
        <v>137</v>
      </c>
      <c r="B26" s="767"/>
      <c r="C26" s="767" t="s">
        <v>138</v>
      </c>
      <c r="D26" s="767"/>
      <c r="E26" s="42">
        <v>35</v>
      </c>
      <c r="F26" s="44" t="s">
        <v>122</v>
      </c>
      <c r="G26" s="62">
        <f>H26/0.8</f>
        <v>1771372.3124999998</v>
      </c>
      <c r="H26" s="62">
        <f>4107.53*H4</f>
        <v>1417097.8499999999</v>
      </c>
      <c r="I26" s="61">
        <f t="shared" si="0"/>
        <v>7618.8056451612892</v>
      </c>
    </row>
  </sheetData>
  <mergeCells count="33">
    <mergeCell ref="C14:D14"/>
    <mergeCell ref="A15:B15"/>
    <mergeCell ref="C15:D15"/>
    <mergeCell ref="A8:B8"/>
    <mergeCell ref="C8:D8"/>
    <mergeCell ref="A9:H9"/>
    <mergeCell ref="A10:H10"/>
    <mergeCell ref="A11:B11"/>
    <mergeCell ref="C11:D11"/>
    <mergeCell ref="A26:B26"/>
    <mergeCell ref="C26:D26"/>
    <mergeCell ref="A20:H20"/>
    <mergeCell ref="A21:B21"/>
    <mergeCell ref="C21:D21"/>
    <mergeCell ref="A22:B22"/>
    <mergeCell ref="C22:D22"/>
    <mergeCell ref="A23:H23"/>
    <mergeCell ref="G3:H3"/>
    <mergeCell ref="A24:B24"/>
    <mergeCell ref="C24:D24"/>
    <mergeCell ref="A25:B25"/>
    <mergeCell ref="C25:D25"/>
    <mergeCell ref="A16:H16"/>
    <mergeCell ref="A17:B17"/>
    <mergeCell ref="C17:D17"/>
    <mergeCell ref="A18:B18"/>
    <mergeCell ref="C18:D18"/>
    <mergeCell ref="A19:B19"/>
    <mergeCell ref="C19:D19"/>
    <mergeCell ref="A12:H12"/>
    <mergeCell ref="A13:B13"/>
    <mergeCell ref="C13:D13"/>
    <mergeCell ref="A14:B14"/>
  </mergeCells>
  <hyperlinks>
    <hyperlink ref="A7" r:id="rId1" display="www.almacom.info  E-mail:almacom@inbox,ru"/>
  </hyperlinks>
  <pageMargins left="0.7" right="0.7" top="0.75" bottom="0.75" header="0.3" footer="0.3"/>
  <pageSetup paperSize="9" scale="74" orientation="portrait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A27" sqref="A27:D27"/>
    </sheetView>
  </sheetViews>
  <sheetFormatPr defaultColWidth="8.85546875" defaultRowHeight="12.75"/>
  <cols>
    <col min="1" max="1" width="32.42578125" style="189" customWidth="1"/>
    <col min="2" max="2" width="8.140625" style="195" customWidth="1"/>
    <col min="3" max="3" width="36.42578125" style="189" customWidth="1"/>
    <col min="4" max="4" width="10" style="196" customWidth="1"/>
    <col min="5" max="5" width="9.7109375" style="189" bestFit="1" customWidth="1"/>
    <col min="6" max="256" width="8.85546875" style="189"/>
    <col min="257" max="257" width="32.42578125" style="189" customWidth="1"/>
    <col min="258" max="258" width="8.140625" style="189" customWidth="1"/>
    <col min="259" max="259" width="36.140625" style="189" customWidth="1"/>
    <col min="260" max="260" width="10" style="189" customWidth="1"/>
    <col min="261" max="512" width="8.85546875" style="189"/>
    <col min="513" max="513" width="32.42578125" style="189" customWidth="1"/>
    <col min="514" max="514" width="8.140625" style="189" customWidth="1"/>
    <col min="515" max="515" width="36.140625" style="189" customWidth="1"/>
    <col min="516" max="516" width="10" style="189" customWidth="1"/>
    <col min="517" max="768" width="8.85546875" style="189"/>
    <col min="769" max="769" width="32.42578125" style="189" customWidth="1"/>
    <col min="770" max="770" width="8.140625" style="189" customWidth="1"/>
    <col min="771" max="771" width="36.140625" style="189" customWidth="1"/>
    <col min="772" max="772" width="10" style="189" customWidth="1"/>
    <col min="773" max="1024" width="8.85546875" style="189"/>
    <col min="1025" max="1025" width="32.42578125" style="189" customWidth="1"/>
    <col min="1026" max="1026" width="8.140625" style="189" customWidth="1"/>
    <col min="1027" max="1027" width="36.140625" style="189" customWidth="1"/>
    <col min="1028" max="1028" width="10" style="189" customWidth="1"/>
    <col min="1029" max="1280" width="8.85546875" style="189"/>
    <col min="1281" max="1281" width="32.42578125" style="189" customWidth="1"/>
    <col min="1282" max="1282" width="8.140625" style="189" customWidth="1"/>
    <col min="1283" max="1283" width="36.140625" style="189" customWidth="1"/>
    <col min="1284" max="1284" width="10" style="189" customWidth="1"/>
    <col min="1285" max="1536" width="8.85546875" style="189"/>
    <col min="1537" max="1537" width="32.42578125" style="189" customWidth="1"/>
    <col min="1538" max="1538" width="8.140625" style="189" customWidth="1"/>
    <col min="1539" max="1539" width="36.140625" style="189" customWidth="1"/>
    <col min="1540" max="1540" width="10" style="189" customWidth="1"/>
    <col min="1541" max="1792" width="8.85546875" style="189"/>
    <col min="1793" max="1793" width="32.42578125" style="189" customWidth="1"/>
    <col min="1794" max="1794" width="8.140625" style="189" customWidth="1"/>
    <col min="1795" max="1795" width="36.140625" style="189" customWidth="1"/>
    <col min="1796" max="1796" width="10" style="189" customWidth="1"/>
    <col min="1797" max="2048" width="8.85546875" style="189"/>
    <col min="2049" max="2049" width="32.42578125" style="189" customWidth="1"/>
    <col min="2050" max="2050" width="8.140625" style="189" customWidth="1"/>
    <col min="2051" max="2051" width="36.140625" style="189" customWidth="1"/>
    <col min="2052" max="2052" width="10" style="189" customWidth="1"/>
    <col min="2053" max="2304" width="8.85546875" style="189"/>
    <col min="2305" max="2305" width="32.42578125" style="189" customWidth="1"/>
    <col min="2306" max="2306" width="8.140625" style="189" customWidth="1"/>
    <col min="2307" max="2307" width="36.140625" style="189" customWidth="1"/>
    <col min="2308" max="2308" width="10" style="189" customWidth="1"/>
    <col min="2309" max="2560" width="8.85546875" style="189"/>
    <col min="2561" max="2561" width="32.42578125" style="189" customWidth="1"/>
    <col min="2562" max="2562" width="8.140625" style="189" customWidth="1"/>
    <col min="2563" max="2563" width="36.140625" style="189" customWidth="1"/>
    <col min="2564" max="2564" width="10" style="189" customWidth="1"/>
    <col min="2565" max="2816" width="8.85546875" style="189"/>
    <col min="2817" max="2817" width="32.42578125" style="189" customWidth="1"/>
    <col min="2818" max="2818" width="8.140625" style="189" customWidth="1"/>
    <col min="2819" max="2819" width="36.140625" style="189" customWidth="1"/>
    <col min="2820" max="2820" width="10" style="189" customWidth="1"/>
    <col min="2821" max="3072" width="8.85546875" style="189"/>
    <col min="3073" max="3073" width="32.42578125" style="189" customWidth="1"/>
    <col min="3074" max="3074" width="8.140625" style="189" customWidth="1"/>
    <col min="3075" max="3075" width="36.140625" style="189" customWidth="1"/>
    <col min="3076" max="3076" width="10" style="189" customWidth="1"/>
    <col min="3077" max="3328" width="8.85546875" style="189"/>
    <col min="3329" max="3329" width="32.42578125" style="189" customWidth="1"/>
    <col min="3330" max="3330" width="8.140625" style="189" customWidth="1"/>
    <col min="3331" max="3331" width="36.140625" style="189" customWidth="1"/>
    <col min="3332" max="3332" width="10" style="189" customWidth="1"/>
    <col min="3333" max="3584" width="8.85546875" style="189"/>
    <col min="3585" max="3585" width="32.42578125" style="189" customWidth="1"/>
    <col min="3586" max="3586" width="8.140625" style="189" customWidth="1"/>
    <col min="3587" max="3587" width="36.140625" style="189" customWidth="1"/>
    <col min="3588" max="3588" width="10" style="189" customWidth="1"/>
    <col min="3589" max="3840" width="8.85546875" style="189"/>
    <col min="3841" max="3841" width="32.42578125" style="189" customWidth="1"/>
    <col min="3842" max="3842" width="8.140625" style="189" customWidth="1"/>
    <col min="3843" max="3843" width="36.140625" style="189" customWidth="1"/>
    <col min="3844" max="3844" width="10" style="189" customWidth="1"/>
    <col min="3845" max="4096" width="8.85546875" style="189"/>
    <col min="4097" max="4097" width="32.42578125" style="189" customWidth="1"/>
    <col min="4098" max="4098" width="8.140625" style="189" customWidth="1"/>
    <col min="4099" max="4099" width="36.140625" style="189" customWidth="1"/>
    <col min="4100" max="4100" width="10" style="189" customWidth="1"/>
    <col min="4101" max="4352" width="8.85546875" style="189"/>
    <col min="4353" max="4353" width="32.42578125" style="189" customWidth="1"/>
    <col min="4354" max="4354" width="8.140625" style="189" customWidth="1"/>
    <col min="4355" max="4355" width="36.140625" style="189" customWidth="1"/>
    <col min="4356" max="4356" width="10" style="189" customWidth="1"/>
    <col min="4357" max="4608" width="8.85546875" style="189"/>
    <col min="4609" max="4609" width="32.42578125" style="189" customWidth="1"/>
    <col min="4610" max="4610" width="8.140625" style="189" customWidth="1"/>
    <col min="4611" max="4611" width="36.140625" style="189" customWidth="1"/>
    <col min="4612" max="4612" width="10" style="189" customWidth="1"/>
    <col min="4613" max="4864" width="8.85546875" style="189"/>
    <col min="4865" max="4865" width="32.42578125" style="189" customWidth="1"/>
    <col min="4866" max="4866" width="8.140625" style="189" customWidth="1"/>
    <col min="4867" max="4867" width="36.140625" style="189" customWidth="1"/>
    <col min="4868" max="4868" width="10" style="189" customWidth="1"/>
    <col min="4869" max="5120" width="8.85546875" style="189"/>
    <col min="5121" max="5121" width="32.42578125" style="189" customWidth="1"/>
    <col min="5122" max="5122" width="8.140625" style="189" customWidth="1"/>
    <col min="5123" max="5123" width="36.140625" style="189" customWidth="1"/>
    <col min="5124" max="5124" width="10" style="189" customWidth="1"/>
    <col min="5125" max="5376" width="8.85546875" style="189"/>
    <col min="5377" max="5377" width="32.42578125" style="189" customWidth="1"/>
    <col min="5378" max="5378" width="8.140625" style="189" customWidth="1"/>
    <col min="5379" max="5379" width="36.140625" style="189" customWidth="1"/>
    <col min="5380" max="5380" width="10" style="189" customWidth="1"/>
    <col min="5381" max="5632" width="8.85546875" style="189"/>
    <col min="5633" max="5633" width="32.42578125" style="189" customWidth="1"/>
    <col min="5634" max="5634" width="8.140625" style="189" customWidth="1"/>
    <col min="5635" max="5635" width="36.140625" style="189" customWidth="1"/>
    <col min="5636" max="5636" width="10" style="189" customWidth="1"/>
    <col min="5637" max="5888" width="8.85546875" style="189"/>
    <col min="5889" max="5889" width="32.42578125" style="189" customWidth="1"/>
    <col min="5890" max="5890" width="8.140625" style="189" customWidth="1"/>
    <col min="5891" max="5891" width="36.140625" style="189" customWidth="1"/>
    <col min="5892" max="5892" width="10" style="189" customWidth="1"/>
    <col min="5893" max="6144" width="8.85546875" style="189"/>
    <col min="6145" max="6145" width="32.42578125" style="189" customWidth="1"/>
    <col min="6146" max="6146" width="8.140625" style="189" customWidth="1"/>
    <col min="6147" max="6147" width="36.140625" style="189" customWidth="1"/>
    <col min="6148" max="6148" width="10" style="189" customWidth="1"/>
    <col min="6149" max="6400" width="8.85546875" style="189"/>
    <col min="6401" max="6401" width="32.42578125" style="189" customWidth="1"/>
    <col min="6402" max="6402" width="8.140625" style="189" customWidth="1"/>
    <col min="6403" max="6403" width="36.140625" style="189" customWidth="1"/>
    <col min="6404" max="6404" width="10" style="189" customWidth="1"/>
    <col min="6405" max="6656" width="8.85546875" style="189"/>
    <col min="6657" max="6657" width="32.42578125" style="189" customWidth="1"/>
    <col min="6658" max="6658" width="8.140625" style="189" customWidth="1"/>
    <col min="6659" max="6659" width="36.140625" style="189" customWidth="1"/>
    <col min="6660" max="6660" width="10" style="189" customWidth="1"/>
    <col min="6661" max="6912" width="8.85546875" style="189"/>
    <col min="6913" max="6913" width="32.42578125" style="189" customWidth="1"/>
    <col min="6914" max="6914" width="8.140625" style="189" customWidth="1"/>
    <col min="6915" max="6915" width="36.140625" style="189" customWidth="1"/>
    <col min="6916" max="6916" width="10" style="189" customWidth="1"/>
    <col min="6917" max="7168" width="8.85546875" style="189"/>
    <col min="7169" max="7169" width="32.42578125" style="189" customWidth="1"/>
    <col min="7170" max="7170" width="8.140625" style="189" customWidth="1"/>
    <col min="7171" max="7171" width="36.140625" style="189" customWidth="1"/>
    <col min="7172" max="7172" width="10" style="189" customWidth="1"/>
    <col min="7173" max="7424" width="8.85546875" style="189"/>
    <col min="7425" max="7425" width="32.42578125" style="189" customWidth="1"/>
    <col min="7426" max="7426" width="8.140625" style="189" customWidth="1"/>
    <col min="7427" max="7427" width="36.140625" style="189" customWidth="1"/>
    <col min="7428" max="7428" width="10" style="189" customWidth="1"/>
    <col min="7429" max="7680" width="8.85546875" style="189"/>
    <col min="7681" max="7681" width="32.42578125" style="189" customWidth="1"/>
    <col min="7682" max="7682" width="8.140625" style="189" customWidth="1"/>
    <col min="7683" max="7683" width="36.140625" style="189" customWidth="1"/>
    <col min="7684" max="7684" width="10" style="189" customWidth="1"/>
    <col min="7685" max="7936" width="8.85546875" style="189"/>
    <col min="7937" max="7937" width="32.42578125" style="189" customWidth="1"/>
    <col min="7938" max="7938" width="8.140625" style="189" customWidth="1"/>
    <col min="7939" max="7939" width="36.140625" style="189" customWidth="1"/>
    <col min="7940" max="7940" width="10" style="189" customWidth="1"/>
    <col min="7941" max="8192" width="8.85546875" style="189"/>
    <col min="8193" max="8193" width="32.42578125" style="189" customWidth="1"/>
    <col min="8194" max="8194" width="8.140625" style="189" customWidth="1"/>
    <col min="8195" max="8195" width="36.140625" style="189" customWidth="1"/>
    <col min="8196" max="8196" width="10" style="189" customWidth="1"/>
    <col min="8197" max="8448" width="8.85546875" style="189"/>
    <col min="8449" max="8449" width="32.42578125" style="189" customWidth="1"/>
    <col min="8450" max="8450" width="8.140625" style="189" customWidth="1"/>
    <col min="8451" max="8451" width="36.140625" style="189" customWidth="1"/>
    <col min="8452" max="8452" width="10" style="189" customWidth="1"/>
    <col min="8453" max="8704" width="8.85546875" style="189"/>
    <col min="8705" max="8705" width="32.42578125" style="189" customWidth="1"/>
    <col min="8706" max="8706" width="8.140625" style="189" customWidth="1"/>
    <col min="8707" max="8707" width="36.140625" style="189" customWidth="1"/>
    <col min="8708" max="8708" width="10" style="189" customWidth="1"/>
    <col min="8709" max="8960" width="8.85546875" style="189"/>
    <col min="8961" max="8961" width="32.42578125" style="189" customWidth="1"/>
    <col min="8962" max="8962" width="8.140625" style="189" customWidth="1"/>
    <col min="8963" max="8963" width="36.140625" style="189" customWidth="1"/>
    <col min="8964" max="8964" width="10" style="189" customWidth="1"/>
    <col min="8965" max="9216" width="8.85546875" style="189"/>
    <col min="9217" max="9217" width="32.42578125" style="189" customWidth="1"/>
    <col min="9218" max="9218" width="8.140625" style="189" customWidth="1"/>
    <col min="9219" max="9219" width="36.140625" style="189" customWidth="1"/>
    <col min="9220" max="9220" width="10" style="189" customWidth="1"/>
    <col min="9221" max="9472" width="8.85546875" style="189"/>
    <col min="9473" max="9473" width="32.42578125" style="189" customWidth="1"/>
    <col min="9474" max="9474" width="8.140625" style="189" customWidth="1"/>
    <col min="9475" max="9475" width="36.140625" style="189" customWidth="1"/>
    <col min="9476" max="9476" width="10" style="189" customWidth="1"/>
    <col min="9477" max="9728" width="8.85546875" style="189"/>
    <col min="9729" max="9729" width="32.42578125" style="189" customWidth="1"/>
    <col min="9730" max="9730" width="8.140625" style="189" customWidth="1"/>
    <col min="9731" max="9731" width="36.140625" style="189" customWidth="1"/>
    <col min="9732" max="9732" width="10" style="189" customWidth="1"/>
    <col min="9733" max="9984" width="8.85546875" style="189"/>
    <col min="9985" max="9985" width="32.42578125" style="189" customWidth="1"/>
    <col min="9986" max="9986" width="8.140625" style="189" customWidth="1"/>
    <col min="9987" max="9987" width="36.140625" style="189" customWidth="1"/>
    <col min="9988" max="9988" width="10" style="189" customWidth="1"/>
    <col min="9989" max="10240" width="8.85546875" style="189"/>
    <col min="10241" max="10241" width="32.42578125" style="189" customWidth="1"/>
    <col min="10242" max="10242" width="8.140625" style="189" customWidth="1"/>
    <col min="10243" max="10243" width="36.140625" style="189" customWidth="1"/>
    <col min="10244" max="10244" width="10" style="189" customWidth="1"/>
    <col min="10245" max="10496" width="8.85546875" style="189"/>
    <col min="10497" max="10497" width="32.42578125" style="189" customWidth="1"/>
    <col min="10498" max="10498" width="8.140625" style="189" customWidth="1"/>
    <col min="10499" max="10499" width="36.140625" style="189" customWidth="1"/>
    <col min="10500" max="10500" width="10" style="189" customWidth="1"/>
    <col min="10501" max="10752" width="8.85546875" style="189"/>
    <col min="10753" max="10753" width="32.42578125" style="189" customWidth="1"/>
    <col min="10754" max="10754" width="8.140625" style="189" customWidth="1"/>
    <col min="10755" max="10755" width="36.140625" style="189" customWidth="1"/>
    <col min="10756" max="10756" width="10" style="189" customWidth="1"/>
    <col min="10757" max="11008" width="8.85546875" style="189"/>
    <col min="11009" max="11009" width="32.42578125" style="189" customWidth="1"/>
    <col min="11010" max="11010" width="8.140625" style="189" customWidth="1"/>
    <col min="11011" max="11011" width="36.140625" style="189" customWidth="1"/>
    <col min="11012" max="11012" width="10" style="189" customWidth="1"/>
    <col min="11013" max="11264" width="8.85546875" style="189"/>
    <col min="11265" max="11265" width="32.42578125" style="189" customWidth="1"/>
    <col min="11266" max="11266" width="8.140625" style="189" customWidth="1"/>
    <col min="11267" max="11267" width="36.140625" style="189" customWidth="1"/>
    <col min="11268" max="11268" width="10" style="189" customWidth="1"/>
    <col min="11269" max="11520" width="8.85546875" style="189"/>
    <col min="11521" max="11521" width="32.42578125" style="189" customWidth="1"/>
    <col min="11522" max="11522" width="8.140625" style="189" customWidth="1"/>
    <col min="11523" max="11523" width="36.140625" style="189" customWidth="1"/>
    <col min="11524" max="11524" width="10" style="189" customWidth="1"/>
    <col min="11525" max="11776" width="8.85546875" style="189"/>
    <col min="11777" max="11777" width="32.42578125" style="189" customWidth="1"/>
    <col min="11778" max="11778" width="8.140625" style="189" customWidth="1"/>
    <col min="11779" max="11779" width="36.140625" style="189" customWidth="1"/>
    <col min="11780" max="11780" width="10" style="189" customWidth="1"/>
    <col min="11781" max="12032" width="8.85546875" style="189"/>
    <col min="12033" max="12033" width="32.42578125" style="189" customWidth="1"/>
    <col min="12034" max="12034" width="8.140625" style="189" customWidth="1"/>
    <col min="12035" max="12035" width="36.140625" style="189" customWidth="1"/>
    <col min="12036" max="12036" width="10" style="189" customWidth="1"/>
    <col min="12037" max="12288" width="8.85546875" style="189"/>
    <col min="12289" max="12289" width="32.42578125" style="189" customWidth="1"/>
    <col min="12290" max="12290" width="8.140625" style="189" customWidth="1"/>
    <col min="12291" max="12291" width="36.140625" style="189" customWidth="1"/>
    <col min="12292" max="12292" width="10" style="189" customWidth="1"/>
    <col min="12293" max="12544" width="8.85546875" style="189"/>
    <col min="12545" max="12545" width="32.42578125" style="189" customWidth="1"/>
    <col min="12546" max="12546" width="8.140625" style="189" customWidth="1"/>
    <col min="12547" max="12547" width="36.140625" style="189" customWidth="1"/>
    <col min="12548" max="12548" width="10" style="189" customWidth="1"/>
    <col min="12549" max="12800" width="8.85546875" style="189"/>
    <col min="12801" max="12801" width="32.42578125" style="189" customWidth="1"/>
    <col min="12802" max="12802" width="8.140625" style="189" customWidth="1"/>
    <col min="12803" max="12803" width="36.140625" style="189" customWidth="1"/>
    <col min="12804" max="12804" width="10" style="189" customWidth="1"/>
    <col min="12805" max="13056" width="8.85546875" style="189"/>
    <col min="13057" max="13057" width="32.42578125" style="189" customWidth="1"/>
    <col min="13058" max="13058" width="8.140625" style="189" customWidth="1"/>
    <col min="13059" max="13059" width="36.140625" style="189" customWidth="1"/>
    <col min="13060" max="13060" width="10" style="189" customWidth="1"/>
    <col min="13061" max="13312" width="8.85546875" style="189"/>
    <col min="13313" max="13313" width="32.42578125" style="189" customWidth="1"/>
    <col min="13314" max="13314" width="8.140625" style="189" customWidth="1"/>
    <col min="13315" max="13315" width="36.140625" style="189" customWidth="1"/>
    <col min="13316" max="13316" width="10" style="189" customWidth="1"/>
    <col min="13317" max="13568" width="8.85546875" style="189"/>
    <col min="13569" max="13569" width="32.42578125" style="189" customWidth="1"/>
    <col min="13570" max="13570" width="8.140625" style="189" customWidth="1"/>
    <col min="13571" max="13571" width="36.140625" style="189" customWidth="1"/>
    <col min="13572" max="13572" width="10" style="189" customWidth="1"/>
    <col min="13573" max="13824" width="8.85546875" style="189"/>
    <col min="13825" max="13825" width="32.42578125" style="189" customWidth="1"/>
    <col min="13826" max="13826" width="8.140625" style="189" customWidth="1"/>
    <col min="13827" max="13827" width="36.140625" style="189" customWidth="1"/>
    <col min="13828" max="13828" width="10" style="189" customWidth="1"/>
    <col min="13829" max="14080" width="8.85546875" style="189"/>
    <col min="14081" max="14081" width="32.42578125" style="189" customWidth="1"/>
    <col min="14082" max="14082" width="8.140625" style="189" customWidth="1"/>
    <col min="14083" max="14083" width="36.140625" style="189" customWidth="1"/>
    <col min="14084" max="14084" width="10" style="189" customWidth="1"/>
    <col min="14085" max="14336" width="8.85546875" style="189"/>
    <col min="14337" max="14337" width="32.42578125" style="189" customWidth="1"/>
    <col min="14338" max="14338" width="8.140625" style="189" customWidth="1"/>
    <col min="14339" max="14339" width="36.140625" style="189" customWidth="1"/>
    <col min="14340" max="14340" width="10" style="189" customWidth="1"/>
    <col min="14341" max="14592" width="8.85546875" style="189"/>
    <col min="14593" max="14593" width="32.42578125" style="189" customWidth="1"/>
    <col min="14594" max="14594" width="8.140625" style="189" customWidth="1"/>
    <col min="14595" max="14595" width="36.140625" style="189" customWidth="1"/>
    <col min="14596" max="14596" width="10" style="189" customWidth="1"/>
    <col min="14597" max="14848" width="8.85546875" style="189"/>
    <col min="14849" max="14849" width="32.42578125" style="189" customWidth="1"/>
    <col min="14850" max="14850" width="8.140625" style="189" customWidth="1"/>
    <col min="14851" max="14851" width="36.140625" style="189" customWidth="1"/>
    <col min="14852" max="14852" width="10" style="189" customWidth="1"/>
    <col min="14853" max="15104" width="8.85546875" style="189"/>
    <col min="15105" max="15105" width="32.42578125" style="189" customWidth="1"/>
    <col min="15106" max="15106" width="8.140625" style="189" customWidth="1"/>
    <col min="15107" max="15107" width="36.140625" style="189" customWidth="1"/>
    <col min="15108" max="15108" width="10" style="189" customWidth="1"/>
    <col min="15109" max="15360" width="8.85546875" style="189"/>
    <col min="15361" max="15361" width="32.42578125" style="189" customWidth="1"/>
    <col min="15362" max="15362" width="8.140625" style="189" customWidth="1"/>
    <col min="15363" max="15363" width="36.140625" style="189" customWidth="1"/>
    <col min="15364" max="15364" width="10" style="189" customWidth="1"/>
    <col min="15365" max="15616" width="8.85546875" style="189"/>
    <col min="15617" max="15617" width="32.42578125" style="189" customWidth="1"/>
    <col min="15618" max="15618" width="8.140625" style="189" customWidth="1"/>
    <col min="15619" max="15619" width="36.140625" style="189" customWidth="1"/>
    <col min="15620" max="15620" width="10" style="189" customWidth="1"/>
    <col min="15621" max="15872" width="8.85546875" style="189"/>
    <col min="15873" max="15873" width="32.42578125" style="189" customWidth="1"/>
    <col min="15874" max="15874" width="8.140625" style="189" customWidth="1"/>
    <col min="15875" max="15875" width="36.140625" style="189" customWidth="1"/>
    <col min="15876" max="15876" width="10" style="189" customWidth="1"/>
    <col min="15877" max="16128" width="8.85546875" style="189"/>
    <col min="16129" max="16129" width="32.42578125" style="189" customWidth="1"/>
    <col min="16130" max="16130" width="8.140625" style="189" customWidth="1"/>
    <col min="16131" max="16131" width="36.140625" style="189" customWidth="1"/>
    <col min="16132" max="16132" width="10" style="189" customWidth="1"/>
    <col min="16133" max="16384" width="8.85546875" style="189"/>
  </cols>
  <sheetData>
    <row r="1" spans="1:5" ht="12.75" customHeight="1">
      <c r="A1" s="325" t="s">
        <v>539</v>
      </c>
      <c r="B1" s="325"/>
      <c r="C1" s="325"/>
      <c r="D1" s="326"/>
    </row>
    <row r="2" spans="1:5" ht="13.5" customHeight="1" thickBot="1">
      <c r="A2" s="190" t="s">
        <v>540</v>
      </c>
      <c r="B2" s="190"/>
      <c r="C2" s="190"/>
      <c r="D2" s="323"/>
    </row>
    <row r="3" spans="1:5" s="209" customFormat="1" ht="32.25" thickBot="1">
      <c r="A3" s="327" t="s">
        <v>2</v>
      </c>
      <c r="B3" s="328" t="s">
        <v>541</v>
      </c>
      <c r="C3" s="329" t="s">
        <v>542</v>
      </c>
      <c r="D3" s="330" t="s">
        <v>543</v>
      </c>
    </row>
    <row r="4" spans="1:5" s="210" customFormat="1" ht="12">
      <c r="A4" s="203" t="s">
        <v>703</v>
      </c>
      <c r="B4" s="194">
        <v>1</v>
      </c>
      <c r="C4" s="192" t="s">
        <v>545</v>
      </c>
      <c r="D4" s="331">
        <v>15404</v>
      </c>
    </row>
    <row r="5" spans="1:5" s="210" customFormat="1" ht="12">
      <c r="A5" s="203" t="s">
        <v>546</v>
      </c>
      <c r="B5" s="194">
        <v>5</v>
      </c>
      <c r="C5" s="191" t="s">
        <v>544</v>
      </c>
      <c r="D5" s="331">
        <v>31752</v>
      </c>
    </row>
    <row r="6" spans="1:5" s="210" customFormat="1">
      <c r="A6" s="203" t="s">
        <v>683</v>
      </c>
      <c r="B6" s="194">
        <v>1</v>
      </c>
      <c r="C6" s="191" t="s">
        <v>684</v>
      </c>
      <c r="D6" s="332">
        <v>70000</v>
      </c>
    </row>
    <row r="7" spans="1:5">
      <c r="A7" s="203" t="s">
        <v>685</v>
      </c>
      <c r="B7" s="302">
        <v>1</v>
      </c>
      <c r="C7" s="192" t="s">
        <v>686</v>
      </c>
      <c r="D7" s="332">
        <v>45000</v>
      </c>
      <c r="E7" s="210"/>
    </row>
    <row r="8" spans="1:5" ht="12.75" hidden="1" customHeight="1">
      <c r="A8" s="203" t="s">
        <v>687</v>
      </c>
      <c r="B8" s="302">
        <v>1</v>
      </c>
      <c r="C8" s="191" t="s">
        <v>65</v>
      </c>
      <c r="D8" s="332">
        <v>180000</v>
      </c>
    </row>
    <row r="9" spans="1:5">
      <c r="A9" s="781" t="s">
        <v>688</v>
      </c>
      <c r="B9" s="782"/>
      <c r="C9" s="782"/>
      <c r="D9" s="332"/>
    </row>
    <row r="10" spans="1:5" ht="24">
      <c r="A10" s="203" t="s">
        <v>689</v>
      </c>
      <c r="B10" s="302">
        <v>1</v>
      </c>
      <c r="C10" s="193" t="s">
        <v>690</v>
      </c>
      <c r="D10" s="333">
        <v>160000</v>
      </c>
    </row>
    <row r="11" spans="1:5">
      <c r="A11" s="781" t="s">
        <v>691</v>
      </c>
      <c r="B11" s="782"/>
      <c r="C11" s="782"/>
      <c r="D11" s="332"/>
    </row>
    <row r="12" spans="1:5" ht="13.5" thickBot="1">
      <c r="A12" s="203" t="s">
        <v>692</v>
      </c>
      <c r="B12" s="194">
        <v>1</v>
      </c>
      <c r="C12" s="191" t="s">
        <v>65</v>
      </c>
      <c r="D12" s="334">
        <v>370000</v>
      </c>
    </row>
    <row r="13" spans="1:5" ht="24">
      <c r="A13" s="303" t="s">
        <v>693</v>
      </c>
      <c r="B13" s="304">
        <v>1</v>
      </c>
      <c r="C13" s="193" t="s">
        <v>694</v>
      </c>
      <c r="D13" s="332">
        <v>240000</v>
      </c>
    </row>
    <row r="14" spans="1:5" ht="13.5" thickBot="1">
      <c r="A14" s="203" t="s">
        <v>695</v>
      </c>
      <c r="B14" s="304">
        <v>1</v>
      </c>
      <c r="C14" s="191" t="s">
        <v>544</v>
      </c>
      <c r="D14" s="332">
        <v>130000</v>
      </c>
    </row>
    <row r="15" spans="1:5">
      <c r="A15" s="303" t="s">
        <v>696</v>
      </c>
      <c r="B15" s="305">
        <v>1</v>
      </c>
      <c r="C15" s="191" t="s">
        <v>65</v>
      </c>
      <c r="D15" s="335">
        <v>400000</v>
      </c>
    </row>
    <row r="16" spans="1:5">
      <c r="A16" s="203" t="s">
        <v>697</v>
      </c>
      <c r="B16" s="304">
        <v>2</v>
      </c>
      <c r="C16" s="191" t="s">
        <v>544</v>
      </c>
      <c r="D16" s="333">
        <v>160000</v>
      </c>
    </row>
    <row r="17" spans="1:5">
      <c r="A17" s="781" t="s">
        <v>698</v>
      </c>
      <c r="B17" s="782"/>
      <c r="C17" s="782"/>
      <c r="D17" s="332"/>
    </row>
    <row r="18" spans="1:5">
      <c r="A18" s="203" t="s">
        <v>699</v>
      </c>
      <c r="B18" s="304">
        <v>1</v>
      </c>
      <c r="C18" s="191" t="s">
        <v>65</v>
      </c>
      <c r="D18" s="332">
        <v>55000</v>
      </c>
    </row>
    <row r="19" spans="1:5" ht="15">
      <c r="A19" s="783" t="s">
        <v>547</v>
      </c>
      <c r="B19" s="784"/>
      <c r="C19" s="784"/>
      <c r="D19" s="785"/>
      <c r="E19" s="253"/>
    </row>
    <row r="20" spans="1:5" ht="24">
      <c r="A20" s="203" t="s">
        <v>704</v>
      </c>
      <c r="B20" s="194">
        <v>1</v>
      </c>
      <c r="C20" s="324" t="s">
        <v>705</v>
      </c>
      <c r="D20" s="331">
        <v>57600</v>
      </c>
    </row>
    <row r="21" spans="1:5" ht="24">
      <c r="A21" s="203" t="s">
        <v>548</v>
      </c>
      <c r="B21" s="194">
        <v>1</v>
      </c>
      <c r="C21" s="193" t="s">
        <v>589</v>
      </c>
      <c r="D21" s="331">
        <v>33600</v>
      </c>
    </row>
    <row r="22" spans="1:5" ht="24">
      <c r="A22" s="203" t="s">
        <v>549</v>
      </c>
      <c r="B22" s="194">
        <v>1</v>
      </c>
      <c r="C22" s="310" t="s">
        <v>701</v>
      </c>
      <c r="D22" s="331">
        <v>33600</v>
      </c>
    </row>
    <row r="23" spans="1:5" ht="24">
      <c r="A23" s="203" t="s">
        <v>550</v>
      </c>
      <c r="B23" s="194">
        <v>1</v>
      </c>
      <c r="C23" s="191" t="s">
        <v>544</v>
      </c>
      <c r="D23" s="331">
        <v>56000</v>
      </c>
    </row>
    <row r="24" spans="1:5">
      <c r="A24" s="786" t="s">
        <v>551</v>
      </c>
      <c r="B24" s="787"/>
      <c r="C24" s="787"/>
      <c r="D24" s="788"/>
    </row>
    <row r="25" spans="1:5" ht="15">
      <c r="A25" s="311" t="s">
        <v>2</v>
      </c>
      <c r="B25" s="312" t="s">
        <v>541</v>
      </c>
      <c r="C25" s="313" t="s">
        <v>542</v>
      </c>
      <c r="D25" s="314" t="s">
        <v>543</v>
      </c>
    </row>
    <row r="26" spans="1:5" ht="13.5" thickBot="1">
      <c r="A26" s="248" t="s">
        <v>553</v>
      </c>
      <c r="B26" s="249">
        <v>1</v>
      </c>
      <c r="C26" s="250" t="s">
        <v>552</v>
      </c>
      <c r="D26" s="336">
        <v>18446</v>
      </c>
    </row>
    <row r="27" spans="1:5">
      <c r="A27" s="203"/>
      <c r="B27" s="304"/>
      <c r="C27" s="191"/>
      <c r="D27" s="301"/>
    </row>
    <row r="28" spans="1:5">
      <c r="A28" s="203" t="s">
        <v>699</v>
      </c>
      <c r="B28" s="304">
        <v>1</v>
      </c>
      <c r="C28" s="191" t="s">
        <v>65</v>
      </c>
      <c r="D28" s="301">
        <v>55000</v>
      </c>
    </row>
    <row r="29" spans="1:5">
      <c r="A29" s="203" t="s">
        <v>700</v>
      </c>
      <c r="B29" s="304">
        <v>1</v>
      </c>
      <c r="C29" s="191" t="s">
        <v>65</v>
      </c>
      <c r="D29" s="301">
        <v>70000</v>
      </c>
    </row>
    <row r="30" spans="1:5" ht="15">
      <c r="A30" s="306" t="s">
        <v>547</v>
      </c>
      <c r="B30" s="307"/>
      <c r="C30" s="308"/>
      <c r="D30" s="309"/>
    </row>
    <row r="31" spans="1:5" ht="24">
      <c r="A31" s="203" t="s">
        <v>548</v>
      </c>
      <c r="B31" s="194">
        <v>1</v>
      </c>
      <c r="C31" s="193" t="s">
        <v>589</v>
      </c>
      <c r="D31" s="204">
        <v>33600</v>
      </c>
    </row>
    <row r="32" spans="1:5" ht="24">
      <c r="A32" s="203" t="s">
        <v>549</v>
      </c>
      <c r="B32" s="194">
        <v>1</v>
      </c>
      <c r="C32" s="310" t="s">
        <v>701</v>
      </c>
      <c r="D32" s="204">
        <v>33600</v>
      </c>
    </row>
    <row r="33" spans="1:4" ht="24">
      <c r="A33" s="203" t="s">
        <v>550</v>
      </c>
      <c r="B33" s="194">
        <v>1</v>
      </c>
      <c r="C33" s="191" t="s">
        <v>544</v>
      </c>
      <c r="D33" s="204">
        <v>56000</v>
      </c>
    </row>
    <row r="34" spans="1:4">
      <c r="A34" s="786" t="s">
        <v>551</v>
      </c>
      <c r="B34" s="787"/>
      <c r="C34" s="787"/>
      <c r="D34" s="788"/>
    </row>
    <row r="35" spans="1:4" ht="15">
      <c r="A35" s="311" t="s">
        <v>2</v>
      </c>
      <c r="B35" s="312" t="s">
        <v>541</v>
      </c>
      <c r="C35" s="313" t="s">
        <v>542</v>
      </c>
      <c r="D35" s="314" t="s">
        <v>543</v>
      </c>
    </row>
    <row r="36" spans="1:4" ht="13.5" thickBot="1">
      <c r="A36" s="248" t="s">
        <v>553</v>
      </c>
      <c r="B36" s="249">
        <v>1</v>
      </c>
      <c r="C36" s="250" t="s">
        <v>552</v>
      </c>
      <c r="D36" s="251">
        <v>18446</v>
      </c>
    </row>
  </sheetData>
  <mergeCells count="6">
    <mergeCell ref="A9:C9"/>
    <mergeCell ref="A11:C11"/>
    <mergeCell ref="A19:D19"/>
    <mergeCell ref="A24:D24"/>
    <mergeCell ref="A34:D34"/>
    <mergeCell ref="A17:C1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кондиц. и расх. мат-лы almacom</vt:lpstr>
      <vt:lpstr>Другое оборуд. almacom </vt:lpstr>
      <vt:lpstr>Другое оборуд. almacom нов</vt:lpstr>
      <vt:lpstr>разное, обогреватели  almacom</vt:lpstr>
      <vt:lpstr>Лист1</vt:lpstr>
      <vt:lpstr>промышленные</vt:lpstr>
      <vt:lpstr>уцененный товар</vt:lpstr>
      <vt:lpstr>Лист2</vt:lpstr>
      <vt:lpstr>Лист3</vt:lpstr>
      <vt:lpstr>'Другое оборуд. almacom '!Print_Area</vt:lpstr>
      <vt:lpstr>'Другое оборуд. almacom нов'!Print_Area</vt:lpstr>
      <vt:lpstr>'кондиц. и расх. мат-лы almacom'!Print_Area</vt:lpstr>
      <vt:lpstr>'разное, обогреватели  almacom'!Область_печати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Yeldos</dc:creator>
  <cp:lastModifiedBy>Махат</cp:lastModifiedBy>
  <cp:lastPrinted>2019-05-21T02:31:51Z</cp:lastPrinted>
  <dcterms:created xsi:type="dcterms:W3CDTF">2014-01-13T08:02:22Z</dcterms:created>
  <dcterms:modified xsi:type="dcterms:W3CDTF">2019-05-21T14:57:28Z</dcterms:modified>
</cp:coreProperties>
</file>